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inventronicsglobal-my.sharepoint.com/personal/a_garzieri_inventronicsglobal_com/Documents/Desktop/Conflict Minerals/EMRT/EMRT 2.0/"/>
    </mc:Choice>
  </mc:AlternateContent>
  <xr:revisionPtr revIDLastSave="0" documentId="8_{561F4CF6-1637-43F3-97AF-146EFF24DAF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456"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S12" i="5"/>
  <c r="T12" i="5"/>
  <c r="R12" i="5"/>
  <c r="AB11" i="5"/>
  <c r="V11" i="5"/>
  <c r="X11" i="5"/>
  <c r="S11" i="5"/>
  <c r="T11" i="5"/>
  <c r="R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R52" i="5"/>
  <c r="R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R6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R32" i="5"/>
  <c r="I176" i="5"/>
  <c r="R1243" i="5"/>
  <c r="I2243" i="5"/>
  <c r="R2094" i="5"/>
  <c r="G2107" i="5"/>
  <c r="R1451" i="5"/>
  <c r="F1879" i="5"/>
  <c r="F429" i="5"/>
  <c r="J1211"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R36"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R46" i="5"/>
  <c r="R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6"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<sst xmlns="http://schemas.openxmlformats.org/spreadsheetml/2006/main" count="28672" uniqueCount="20084">
  <si>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</si>
  <si>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</si>
  <si>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</si>
  <si>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</si>
  <si>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</si>
  <si>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</si>
  <si>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</si>
  <si>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</si>
  <si>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</si>
  <si>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</si>
  <si>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</si>
  <si>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</si>
  <si>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</si>
  <si>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</si>
  <si>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</si>
  <si>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</si>
  <si>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</si>
  <si>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</si>
  <si>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</si>
  <si>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</si>
  <si>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</si>
  <si>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</si>
  <si>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</si>
  <si>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</si>
  <si>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</si>
  <si>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</si>
  <si>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</si>
  <si>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</si>
  <si>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</si>
  <si>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</si>
  <si>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</si>
  <si>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</si>
  <si>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</si>
  <si>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</si>
  <si>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</si>
  <si>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</si>
  <si>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</si>
  <si>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</si>
  <si>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</si>
  <si>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</si>
  <si>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</si>
  <si>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</si>
  <si>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</si>
  <si>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</si>
  <si>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</si>
  <si>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</si>
  <si>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</si>
  <si>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</si>
  <si>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</si>
  <si>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</si>
  <si>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</si>
  <si>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</si>
  <si>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</si>
  <si>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</si>
  <si>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</si>
  <si>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</si>
  <si>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</si>
  <si>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</si>
  <si>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</si>
  <si>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</si>
  <si>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</si>
  <si>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</si>
  <si>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</si>
  <si>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</si>
  <si>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</si>
  <si>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</si>
  <si>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</si>
  <si>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</si>
  <si>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</si>
  <si>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</si>
  <si>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</si>
  <si>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</si>
  <si>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</si>
  <si>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</si>
  <si>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</si>
  <si>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</si>
  <si>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</si>
  <si>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</si>
  <si>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</si>
  <si>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</si>
  <si>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</si>
  <si>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</si>
  <si>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</si>
  <si>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</si>
  <si>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</si>
  <si>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</si>
  <si>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</si>
  <si>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</si>
  <si>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</si>
  <si>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</si>
  <si>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</si>
  <si>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</si>
  <si>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</si>
  <si>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</si>
  <si>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</si>
  <si>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</si>
  <si>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</si>
  <si>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</si>
  <si>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</si>
  <si>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</si>
  <si>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</si>
  <si>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</si>
  <si>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</si>
  <si>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</si>
  <si>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</si>
  <si>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</si>
  <si>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</si>
  <si>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</si>
  <si>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</si>
  <si>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</si>
  <si>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</si>
  <si>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</si>
  <si>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</si>
  <si>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</si>
  <si>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</si>
  <si>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</si>
  <si>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</si>
  <si>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</si>
  <si>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</si>
  <si>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</si>
  <si>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</si>
  <si>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</si>
  <si>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</si>
  <si>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</si>
  <si>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</si>
  <si>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</si>
  <si>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</si>
  <si>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</si>
  <si>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</si>
  <si>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</si>
  <si>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</si>
  <si>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</si>
  <si>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</si>
  <si>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</si>
  <si>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</si>
  <si>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</si>
  <si>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</si>
  <si>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</si>
  <si>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</si>
  <si>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</si>
  <si>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</si>
  <si>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</si>
  <si>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</si>
  <si>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</si>
  <si>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</si>
  <si>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</si>
  <si>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</si>
  <si>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</si>
  <si>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</si>
  <si>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</si>
  <si>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</si>
  <si>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</si>
  <si>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</si>
  <si>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</si>
  <si>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</si>
  <si>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</si>
  <si>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</si>
  <si>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</si>
  <si>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</si>
  <si>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</si>
  <si>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</si>
  <si>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</si>
  <si>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</si>
  <si>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</si>
  <si>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</si>
  <si>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</si>
  <si>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</si>
  <si>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</si>
  <si>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</si>
  <si>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</si>
  <si>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</si>
  <si>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</si>
  <si>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</si>
  <si>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</si>
  <si>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</si>
  <si>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</si>
  <si>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</si>
  <si>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</si>
  <si>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</si>
  <si>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</si>
  <si>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</si>
  <si>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</si>
  <si>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</si>
  <si>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</si>
  <si>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</si>
  <si>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</si>
  <si>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</si>
  <si>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</si>
  <si>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</si>
  <si>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</si>
  <si>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</si>
  <si>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</si>
  <si>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</si>
  <si>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</si>
  <si>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</si>
  <si>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</si>
  <si>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</si>
  <si>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</si>
  <si>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</si>
  <si>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</si>
  <si>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</si>
  <si>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</si>
  <si>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</si>
  <si>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</si>
  <si>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</si>
  <si>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</si>
  <si>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</si>
  <si>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</si>
  <si>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</si>
  <si>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</si>
  <si>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</si>
  <si>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</si>
  <si>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</si>
  <si>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</si>
  <si>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</si>
  <si>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</si>
  <si>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</si>
  <si>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</si>
  <si>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</si>
  <si>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</si>
  <si>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</si>
  <si>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</si>
  <si>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</si>
  <si>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</si>
  <si>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</si>
  <si>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</si>
  <si>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</si>
  <si>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</si>
  <si>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</si>
  <si>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</si>
  <si>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</si>
  <si>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</si>
  <si>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</si>
  <si>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</si>
  <si>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</si>
  <si>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</si>
  <si>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</si>
  <si>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</si>
  <si>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</si>
  <si>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</si>
  <si>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</si>
  <si>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</si>
  <si>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</si>
  <si>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</si>
  <si>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</si>
  <si>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</si>
  <si>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</si>
  <si>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</si>
  <si>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</si>
  <si>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</si>
  <si>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</si>
  <si>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</si>
  <si>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</si>
  <si>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</si>
  <si>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</si>
  <si>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</si>
  <si>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</si>
  <si>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</si>
  <si>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</si>
  <si>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</si>
  <si>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</si>
  <si>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</si>
  <si>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</si>
  <si>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</si>
  <si>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</si>
  <si>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</si>
  <si>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</si>
  <si>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</si>
  <si>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</si>
  <si>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</si>
  <si>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</si>
  <si>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</si>
  <si>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</si>
  <si>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</si>
  <si>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</si>
  <si>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</si>
  <si>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</si>
  <si>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</si>
  <si>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</si>
  <si>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</si>
  <si>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</si>
  <si>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</si>
  <si>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</si>
  <si>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</si>
  <si>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</si>
  <si>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</si>
  <si>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</si>
  <si>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</si>
  <si>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</si>
  <si>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</si>
  <si>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</si>
  <si>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</si>
  <si>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</si>
  <si>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</si>
  <si>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</si>
  <si>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</si>
  <si>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</si>
  <si>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</si>
  <si>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</si>
  <si>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</si>
  <si>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</si>
  <si>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</si>
  <si>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</si>
  <si>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</si>
  <si>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</si>
  <si>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</si>
  <si>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</si>
  <si>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</si>
  <si>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</si>
  <si>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</si>
  <si>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</si>
  <si>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</si>
  <si>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</si>
  <si>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</si>
  <si>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</si>
  <si>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</si>
  <si>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</si>
  <si>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</si>
  <si>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</si>
  <si>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</si>
  <si>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</si>
  <si>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</si>
  <si>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</si>
  <si>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</si>
  <si>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</si>
  <si>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</si>
  <si>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</si>
  <si>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</si>
  <si>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</si>
  <si>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</si>
  <si>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</si>
  <si>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</si>
  <si>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</si>
  <si>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</si>
  <si>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</si>
  <si>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</si>
  <si>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</si>
  <si>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</si>
  <si>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</si>
  <si>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</si>
  <si>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</si>
  <si>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</si>
  <si>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</si>
  <si>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</si>
  <si>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</si>
  <si>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</si>
  <si>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</si>
  <si>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</si>
  <si>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</si>
  <si>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</si>
  <si>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</si>
  <si>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</si>
  <si>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</si>
  <si>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</si>
  <si>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</si>
  <si>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</si>
  <si>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</si>
  <si>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</si>
  <si>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</si>
  <si>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</si>
  <si>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</si>
  <si>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</si>
  <si>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</si>
  <si>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</si>
  <si>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</si>
  <si>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</si>
  <si>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</si>
  <si>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</si>
  <si>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</si>
  <si>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</si>
  <si>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</si>
  <si>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</si>
  <si>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</si>
  <si>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</si>
  <si>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</si>
  <si>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</si>
  <si>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</si>
  <si>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</si>
  <si>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</si>
  <si>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</si>
  <si>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</si>
  <si>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</si>
  <si>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</si>
  <si>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</si>
  <si>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</si>
  <si>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</si>
  <si>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</si>
  <si>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</si>
  <si>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</si>
  <si>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</si>
  <si>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</si>
  <si>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</si>
  <si>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</si>
  <si>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</si>
  <si>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</si>
  <si>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</si>
  <si>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</si>
  <si>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</si>
  <si>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</si>
  <si>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</si>
  <si>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</si>
  <si>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</si>
  <si>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</si>
  <si>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</si>
  <si>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</si>
  <si>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</si>
  <si>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</si>
  <si>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</si>
  <si>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</si>
  <si>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</si>
  <si>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</si>
  <si>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</si>
  <si>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</si>
  <si>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</si>
  <si>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</si>
  <si>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</si>
  <si>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</si>
  <si>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</si>
  <si>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</si>
  <si>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</si>
  <si>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</si>
  <si>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</si>
  <si>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</si>
  <si>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</si>
  <si>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</si>
  <si>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</si>
  <si>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</si>
  <si>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</si>
  <si>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</si>
  <si>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</si>
  <si>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</si>
  <si>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</si>
  <si>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</si>
  <si>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</si>
  <si>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</si>
  <si>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</si>
  <si>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</si>
  <si>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</si>
  <si>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</si>
  <si>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</si>
  <si>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</si>
  <si>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</si>
  <si>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</si>
  <si>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</si>
  <si>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</si>
  <si>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</si>
  <si>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</si>
  <si>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</si>
  <si>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</si>
  <si>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</si>
  <si>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</si>
  <si>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</si>
  <si>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</si>
  <si>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</si>
  <si>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</si>
  <si>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</si>
  <si>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</si>
  <si>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</si>
  <si>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</si>
  <si>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</si>
  <si>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</si>
  <si>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</si>
  <si>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</si>
  <si>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</si>
  <si>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</si>
  <si>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</si>
  <si>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</si>
  <si>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</si>
  <si>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</si>
  <si>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</si>
  <si>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</si>
  <si>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</si>
  <si>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</si>
  <si>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</si>
  <si>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</si>
  <si>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</si>
  <si>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</si>
  <si>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</si>
  <si>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</si>
  <si>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</si>
  <si>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</si>
  <si>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</si>
  <si>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</si>
  <si>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</si>
  <si>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</si>
  <si>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</si>
  <si>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</si>
  <si>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</si>
  <si>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</si>
  <si>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</si>
  <si>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</si>
  <si>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</si>
  <si>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</si>
  <si>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</si>
  <si>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</si>
  <si>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</si>
  <si>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</si>
  <si>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</si>
  <si>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</si>
  <si>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</si>
  <si>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</si>
  <si>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</si>
  <si>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</si>
  <si>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</si>
  <si>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</si>
  <si>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</si>
  <si>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</si>
  <si>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</si>
  <si>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</si>
  <si>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</si>
  <si>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</si>
  <si>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</si>
  <si>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</si>
  <si>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</si>
  <si>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</si>
  <si>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</si>
  <si>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</si>
  <si>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</si>
  <si>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</si>
  <si>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</si>
  <si>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</si>
  <si>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</si>
  <si>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</si>
  <si>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</si>
  <si>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</si>
  <si>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</si>
  <si>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</si>
  <si>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</si>
  <si>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</si>
  <si>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</si>
  <si>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</si>
  <si>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</si>
  <si>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</si>
  <si>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</si>
  <si>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</si>
  <si>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</si>
  <si>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</si>
  <si>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</si>
  <si>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</si>
  <si>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</si>
  <si>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</si>
  <si>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</si>
  <si>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</si>
  <si>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</si>
  <si>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</si>
  <si>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</si>
  <si>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</si>
  <si>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</si>
  <si>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</si>
  <si>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</si>
  <si>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</si>
  <si>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</si>
  <si>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</si>
  <si>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</si>
  <si>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</si>
  <si>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</si>
  <si>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</si>
  <si>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</si>
  <si>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</si>
  <si>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</si>
  <si>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</si>
  <si>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</si>
  <si>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</si>
  <si>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</si>
  <si>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</si>
  <si>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</si>
  <si>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</si>
  <si>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</si>
  <si>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</si>
  <si>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</si>
  <si>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</si>
  <si>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</si>
  <si>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</si>
  <si>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</si>
  <si>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</si>
  <si>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</si>
  <si>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</si>
  <si>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</si>
  <si>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</si>
  <si>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</si>
  <si>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</si>
  <si>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</si>
  <si>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</si>
  <si>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</si>
  <si>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</si>
  <si>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</si>
  <si>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</si>
  <si>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</si>
  <si>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</si>
  <si>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</si>
  <si>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</si>
  <si>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</si>
  <si>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</si>
  <si>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</si>
  <si>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</si>
  <si>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</si>
  <si>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</si>
  <si>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</si>
  <si>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</si>
  <si>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</si>
  <si>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</si>
  <si>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</si>
  <si>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</si>
  <si>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</si>
  <si>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</si>
  <si>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</si>
  <si>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</si>
  <si>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</si>
  <si>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</si>
  <si>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</si>
  <si>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</si>
  <si>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</si>
  <si>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</si>
  <si>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</si>
  <si>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</si>
  <si>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</si>
  <si>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</si>
  <si>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</si>
  <si>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</si>
  <si>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</si>
  <si>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</si>
  <si>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</si>
  <si>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</si>
  <si>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</si>
  <si>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</si>
  <si>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</si>
  <si>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</si>
  <si>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</si>
  <si>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</si>
  <si>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</si>
  <si>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</si>
  <si>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</si>
  <si>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</si>
  <si>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</si>
  <si>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</si>
  <si>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</si>
  <si>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</si>
  <si>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</si>
  <si>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</si>
  <si>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</si>
  <si>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</si>
  <si>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</si>
  <si>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</si>
  <si>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</si>
  <si>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</si>
  <si>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</si>
  <si>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</si>
  <si>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</si>
  <si>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</si>
  <si>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</si>
  <si>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</si>
  <si>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</si>
  <si>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</si>
  <si>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</si>
  <si>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</si>
  <si>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</si>
  <si>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</si>
  <si>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</si>
  <si>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</si>
  <si>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</si>
  <si>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</si>
  <si>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</si>
  <si>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</si>
  <si>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</si>
  <si>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</si>
  <si>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</si>
  <si>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</si>
  <si>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</si>
  <si>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</si>
  <si>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</si>
  <si>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</si>
  <si>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</si>
  <si>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</si>
  <si>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</si>
  <si>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</si>
  <si>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</si>
  <si>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</si>
  <si>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</si>
  <si>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</si>
  <si>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</si>
  <si>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</si>
  <si>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</si>
  <si>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</si>
  <si>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</si>
  <si>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</si>
  <si>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</si>
  <si>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</si>
  <si>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</si>
  <si>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</si>
  <si>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</si>
  <si>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</si>
  <si>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</si>
  <si>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</si>
  <si>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</si>
  <si>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</si>
  <si>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</si>
  <si>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</si>
  <si>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</si>
  <si>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</si>
  <si>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</si>
  <si>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</si>
  <si>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</si>
  <si>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</si>
  <si>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</si>
  <si>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</si>
  <si>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</si>
  <si>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</si>
  <si>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</si>
  <si>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</si>
  <si>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</si>
  <si>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</si>
  <si>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</si>
  <si>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</si>
  <si>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</si>
  <si>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</si>
  <si>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</si>
  <si>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</si>
  <si>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</si>
  <si>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</si>
  <si>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</si>
  <si>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</si>
  <si>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</si>
  <si>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</si>
  <si>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</si>
  <si>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</si>
  <si>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</si>
  <si>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</si>
  <si>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</si>
  <si>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</si>
  <si>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</si>
  <si>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</si>
  <si>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</si>
  <si>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</si>
  <si>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</si>
  <si>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</si>
  <si>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</si>
  <si>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</si>
  <si>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</si>
  <si>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</si>
  <si>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</si>
  <si>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</si>
  <si>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</si>
  <si>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</si>
  <si>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</si>
  <si>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</si>
  <si>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</si>
  <si>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</si>
  <si>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</si>
  <si>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</si>
  <si>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</si>
  <si>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</si>
  <si>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</si>
  <si>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</si>
  <si>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</si>
  <si>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</si>
  <si>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</si>
  <si>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</si>
  <si>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</si>
  <si>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</si>
  <si>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</si>
  <si>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</si>
  <si>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</si>
  <si>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</si>
  <si>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</si>
  <si>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</si>
  <si>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</si>
  <si>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</si>
  <si>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</si>
  <si>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</si>
  <si>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</si>
  <si>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</si>
  <si>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</si>
  <si>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</si>
  <si>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</si>
  <si>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</si>
  <si>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</si>
  <si>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</si>
  <si>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</si>
  <si>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</si>
  <si>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</si>
  <si>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</si>
  <si>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</si>
  <si>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</si>
  <si>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</si>
  <si>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</si>
  <si>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</si>
  <si>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</si>
  <si>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</si>
  <si>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</si>
  <si>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</si>
  <si>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</si>
  <si>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</si>
  <si>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</si>
  <si>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</si>
  <si>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</si>
  <si>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</si>
  <si>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</si>
  <si>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</si>
  <si>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</si>
  <si>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</si>
  <si>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</si>
  <si>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</si>
  <si>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</si>
  <si>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</si>
  <si>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</si>
  <si>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</si>
  <si>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</si>
  <si>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</si>
  <si>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</si>
  <si>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</si>
  <si>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</si>
  <si>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</si>
  <si>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</si>
  <si>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</si>
  <si>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</si>
  <si>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</si>
  <si>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</si>
  <si>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</si>
  <si>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</si>
  <si>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</si>
  <si>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</si>
  <si>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</si>
  <si>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</si>
  <si>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</si>
  <si>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</si>
  <si>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</si>
  <si>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</si>
  <si>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</si>
  <si>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</si>
  <si>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</si>
  <si>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</si>
  <si>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</si>
  <si>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</si>
  <si>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</si>
  <si>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</si>
  <si>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</si>
  <si>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</si>
  <si>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</si>
  <si>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</si>
  <si>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</si>
  <si>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</si>
  <si>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</si>
  <si>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</si>
  <si>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</si>
  <si>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</si>
  <si>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</si>
  <si>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</si>
  <si>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</si>
  <si>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</si>
  <si>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</si>
  <si>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</si>
  <si>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</si>
  <si>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</si>
  <si>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</si>
  <si>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</si>
  <si>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</si>
  <si>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</si>
  <si>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</si>
  <si>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</si>
  <si>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</si>
  <si>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</si>
  <si>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</si>
  <si>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</si>
  <si>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</si>
  <si>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</si>
  <si>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</si>
  <si>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</si>
  <si>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</si>
  <si>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</si>
  <si>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</si>
  <si>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</si>
  <si>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</si>
  <si>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</si>
  <si>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</si>
  <si>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</si>
  <si>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</si>
  <si>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</si>
  <si>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</si>
  <si>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</si>
  <si>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</si>
  <si>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</si>
  <si>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</si>
  <si>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</si>
  <si>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</si>
  <si>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</si>
  <si>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</si>
  <si>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</si>
  <si>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</si>
  <si>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</si>
  <si>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</si>
  <si>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</si>
  <si>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</si>
  <si>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</si>
  <si>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</si>
  <si>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</si>
  <si>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</si>
  <si>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</si>
  <si>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</si>
  <si>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</si>
  <si>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</si>
  <si>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</si>
  <si>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</si>
  <si>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</si>
  <si>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</si>
  <si>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</si>
  <si>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</si>
  <si>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</si>
  <si>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</si>
  <si>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</si>
  <si>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</si>
  <si>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</si>
  <si>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</si>
  <si>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</si>
  <si>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</si>
  <si>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</si>
  <si>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</si>
  <si>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</si>
  <si>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</si>
  <si>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</si>
  <si>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</si>
  <si>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</si>
  <si>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</si>
  <si>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</si>
  <si>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</si>
  <si>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</si>
  <si>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</si>
  <si>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</si>
  <si>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</si>
  <si>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</si>
  <si>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</si>
  <si>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</si>
  <si>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</si>
  <si>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</si>
  <si>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</si>
  <si>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</si>
  <si>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</si>
  <si>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</si>
  <si>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</si>
  <si>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</si>
  <si>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</si>
  <si>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</si>
  <si>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</si>
  <si>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</si>
  <si>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</si>
  <si>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</si>
  <si>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</si>
  <si>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</si>
  <si>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</si>
  <si>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</si>
  <si>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</si>
  <si>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</si>
  <si>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</si>
  <si>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</si>
  <si>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</si>
  <si>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</si>
  <si>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</si>
  <si>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</si>
  <si>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</si>
  <si>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</si>
  <si>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</si>
  <si>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</si>
  <si>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</si>
  <si>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</si>
  <si>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</si>
  <si>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</si>
  <si>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</si>
  <si>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</si>
  <si>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</si>
  <si>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</si>
  <si>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</si>
  <si>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</si>
  <si>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</si>
  <si>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</si>
  <si>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</si>
  <si>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</si>
  <si>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</si>
  <si>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</si>
  <si>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</si>
  <si>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</si>
  <si>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</si>
  <si>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</si>
  <si>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</si>
  <si>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</si>
  <si>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</si>
  <si>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</si>
  <si>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</si>
  <si>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</si>
  <si>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</si>
  <si>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</si>
  <si>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</si>
  <si>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</si>
  <si>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</si>
  <si>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</si>
  <si>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</si>
  <si>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</si>
  <si>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</si>
  <si>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</si>
  <si>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</si>
  <si>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</si>
  <si>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</si>
  <si>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</si>
  <si>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</si>
  <si>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</si>
  <si>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</si>
  <si>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</si>
  <si>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</si>
  <si>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</si>
  <si>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</si>
  <si>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</si>
  <si>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</si>
  <si>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</si>
  <si>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</si>
  <si>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</si>
  <si>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</si>
  <si>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</si>
  <si>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</si>
  <si>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</si>
  <si>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</si>
  <si>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</si>
  <si>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</si>
  <si>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</si>
  <si>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</si>
  <si>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</si>
  <si>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</si>
  <si>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</si>
  <si>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</si>
  <si>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</si>
  <si>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</si>
  <si>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</si>
  <si>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</si>
  <si>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</si>
  <si>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</si>
  <si>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</si>
  <si>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</si>
  <si>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</si>
  <si>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</si>
  <si>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</si>
  <si>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</si>
  <si>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</si>
  <si>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</si>
  <si>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</si>
  <si>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</si>
  <si>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</si>
  <si>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</si>
  <si>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</si>
  <si>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</si>
  <si>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</si>
  <si>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</si>
  <si>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</si>
  <si>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</si>
  <si>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</si>
  <si>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</si>
  <si>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</si>
  <si>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</si>
  <si>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</si>
  <si>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</si>
  <si>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</si>
  <si>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</si>
  <si>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</si>
  <si>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</si>
  <si>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</si>
  <si>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</si>
  <si>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</si>
  <si>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</si>
  <si>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</si>
  <si>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</si>
  <si>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</si>
  <si>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</si>
  <si>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</si>
  <si>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</si>
  <si>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</si>
  <si>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</si>
  <si>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</si>
  <si>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</si>
  <si>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</si>
  <si>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</si>
  <si>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</si>
  <si>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</si>
  <si>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</si>
  <si>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</si>
  <si>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</si>
  <si>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</si>
  <si>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</si>
  <si>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</si>
  <si>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</si>
  <si>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</si>
  <si>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</si>
  <si>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</si>
  <si>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</si>
  <si>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</si>
  <si>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</si>
  <si>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</si>
  <si>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</si>
  <si>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</si>
  <si>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</si>
  <si>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</si>
  <si>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</si>
  <si>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</si>
  <si>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</si>
  <si>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</si>
  <si>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</si>
  <si>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</si>
  <si>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</si>
  <si>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</si>
  <si>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</si>
  <si>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</si>
  <si>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</si>
  <si>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</si>
  <si>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</si>
  <si>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</si>
  <si>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</si>
  <si>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</si>
  <si>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</si>
  <si>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</si>
  <si>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</si>
  <si>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</si>
  <si>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</si>
  <si>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</si>
  <si>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</si>
  <si>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</si>
  <si>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</si>
  <si>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</si>
  <si>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</si>
  <si>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</si>
  <si>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</si>
  <si>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</si>
  <si>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</si>
  <si>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</si>
  <si>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</si>
  <si>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</si>
  <si>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</si>
  <si>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</si>
  <si>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</si>
  <si>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</si>
  <si>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</si>
  <si>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</si>
  <si>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</si>
  <si>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</si>
  <si>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</si>
  <si>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</si>
  <si>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</si>
  <si>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</si>
  <si>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</si>
  <si>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</si>
  <si>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</si>
  <si>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</si>
  <si>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</si>
  <si>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</si>
  <si>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</si>
  <si>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</si>
  <si>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</si>
  <si>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</si>
  <si>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</si>
  <si>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</si>
  <si>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</si>
  <si>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</si>
  <si>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</si>
  <si>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</si>
  <si>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</si>
  <si>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</si>
  <si>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</si>
  <si>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</si>
  <si>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</si>
  <si>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</si>
  <si>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</si>
  <si>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</si>
  <si>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</si>
  <si>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</si>
  <si>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</si>
  <si>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</si>
  <si>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</si>
  <si>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</si>
  <si>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</si>
  <si>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</si>
  <si>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</si>
  <si>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</si>
  <si>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</si>
  <si>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</si>
  <si>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</si>
  <si>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</si>
  <si>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</si>
  <si>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</si>
  <si>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</si>
  <si>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</si>
  <si>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</si>
  <si>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</si>
  <si>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</si>
  <si>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</si>
  <si>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</si>
  <si>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</si>
  <si>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</si>
  <si>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</si>
  <si>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</si>
  <si>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</si>
  <si>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</si>
  <si>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</si>
  <si>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</si>
  <si>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</si>
  <si>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</si>
  <si>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</si>
  <si>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</si>
  <si>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</si>
  <si>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</si>
  <si>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</si>
  <si>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</si>
  <si>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</si>
  <si>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</si>
  <si>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</si>
  <si>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</si>
  <si>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</si>
  <si>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</si>
  <si>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</si>
  <si>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</si>
  <si>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</si>
  <si>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</si>
  <si>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</si>
  <si>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</si>
  <si>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</si>
  <si>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</si>
  <si>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</si>
  <si>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</si>
  <si>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</si>
  <si>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</si>
  <si>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</si>
  <si>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</si>
  <si>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</si>
  <si>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</si>
  <si>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</si>
  <si>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</si>
  <si>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</si>
  <si>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</si>
  <si>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</si>
  <si>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</si>
  <si>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</si>
  <si>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</si>
  <si>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</si>
  <si>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</si>
  <si>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</si>
  <si>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</si>
  <si>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</si>
  <si>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</si>
  <si>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</si>
  <si>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</si>
  <si>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</si>
  <si>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</si>
  <si>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</si>
  <si>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</si>
  <si>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</si>
  <si>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</si>
  <si>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</si>
  <si>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</si>
  <si>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</si>
  <si>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</si>
  <si>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</si>
  <si>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</si>
  <si>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</si>
  <si>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</si>
  <si>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</si>
  <si>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</si>
  <si>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</si>
  <si>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</si>
  <si>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</si>
  <si>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</si>
  <si>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</si>
  <si>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</si>
  <si>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</si>
  <si>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</si>
  <si>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</si>
  <si>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</si>
  <si>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</si>
  <si>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</si>
  <si>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</si>
  <si>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</si>
  <si>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</si>
  <si>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</si>
  <si>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</si>
  <si>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</si>
  <si>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</si>
  <si>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</si>
  <si>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</si>
  <si>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</si>
  <si>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</si>
  <si>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</si>
  <si>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</si>
  <si>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</si>
  <si>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</si>
  <si>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</si>
  <si>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</si>
  <si>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</si>
  <si>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</si>
  <si>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</si>
  <si>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</si>
  <si>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</si>
  <si>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</si>
  <si>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</si>
  <si>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</si>
  <si>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</si>
  <si>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</si>
  <si>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</si>
  <si>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</si>
  <si>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</si>
  <si>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</si>
  <si>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</si>
  <si>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</si>
  <si>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</si>
  <si>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</si>
  <si>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</si>
  <si>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</si>
  <si>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</si>
  <si>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</si>
  <si>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</si>
  <si>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</si>
  <si>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</si>
  <si>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</si>
  <si>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</si>
  <si>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</si>
  <si>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</si>
  <si>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</si>
  <si>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</si>
  <si>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</si>
  <si>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</si>
  <si>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</si>
  <si>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</si>
  <si>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</si>
  <si>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</si>
  <si>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</si>
  <si>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</si>
  <si>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</si>
  <si>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</si>
  <si>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</si>
  <si>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</si>
  <si>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</si>
  <si>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</si>
  <si>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</si>
  <si>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</si>
  <si>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</si>
  <si>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</si>
  <si>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</si>
  <si>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</si>
  <si>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</si>
  <si>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</si>
  <si>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</si>
  <si>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</si>
  <si>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</si>
  <si>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</si>
  <si>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</si>
  <si>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</si>
  <si>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</si>
  <si>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</si>
  <si>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</si>
  <si>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</si>
  <si>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</si>
  <si>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</si>
  <si>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</si>
  <si>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</si>
  <si>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</si>
  <si>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</si>
  <si>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</si>
  <si>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</si>
  <si>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</si>
  <si>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</si>
  <si>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</si>
  <si>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</si>
  <si>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</si>
  <si>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</si>
  <si>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</si>
  <si>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</si>
  <si>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</si>
  <si>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</si>
  <si>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</si>
  <si>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</si>
  <si>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</si>
  <si>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</si>
  <si>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</si>
  <si>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</si>
  <si>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</si>
  <si>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</si>
  <si>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</si>
  <si>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</si>
  <si>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</si>
  <si>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</si>
  <si>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</si>
  <si>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</si>
  <si>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</si>
  <si>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</si>
  <si>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</si>
  <si>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</si>
  <si>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</si>
  <si>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</si>
  <si>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</si>
  <si>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</si>
  <si>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</si>
  <si>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</si>
  <si>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</si>
  <si>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</si>
  <si>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</si>
  <si>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</si>
  <si>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</si>
  <si>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</si>
  <si>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</si>
  <si>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</si>
  <si>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</si>
  <si>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</si>
  <si>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</si>
  <si>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</si>
  <si>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</si>
  <si>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</si>
  <si>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</si>
  <si>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</si>
  <si>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</si>
  <si>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</si>
  <si>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</si>
  <si>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</si>
  <si>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</si>
  <si>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</si>
  <si>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</si>
  <si>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</si>
  <si>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</si>
  <si>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</si>
  <si>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</si>
  <si>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</si>
  <si>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</si>
  <si>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</si>
  <si>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</si>
  <si>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</si>
  <si>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</si>
  <si>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</si>
  <si>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</si>
  <si>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</si>
  <si>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</si>
  <si>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</si>
  <si>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</si>
  <si>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</si>
  <si>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</si>
  <si>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</si>
  <si>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</si>
  <si>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</si>
  <si>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</si>
  <si>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</si>
  <si>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</si>
  <si>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</si>
  <si>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</si>
  <si>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</si>
  <si>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</si>
  <si>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</si>
  <si>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</si>
  <si>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</si>
  <si>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</si>
  <si>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</si>
  <si>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</si>
  <si>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</si>
  <si>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</si>
  <si>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</si>
  <si>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</si>
  <si>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</si>
  <si>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</si>
  <si>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</si>
  <si>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</si>
  <si>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</si>
  <si>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</si>
  <si>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</si>
  <si>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</si>
  <si>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</si>
  <si>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</si>
  <si>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</si>
  <si>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</si>
  <si>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</si>
  <si>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</si>
  <si>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</si>
  <si>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</si>
  <si>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</si>
  <si>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</si>
  <si>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</si>
  <si>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</si>
  <si>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</si>
  <si>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</si>
  <si>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</si>
  <si>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</si>
  <si>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</si>
  <si>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</si>
  <si>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</si>
  <si>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</si>
  <si>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</si>
  <si>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</si>
  <si>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</si>
  <si>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</si>
  <si>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</si>
  <si>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</si>
  <si>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</si>
  <si>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</si>
  <si>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</si>
  <si>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</si>
  <si>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</si>
  <si>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</si>
  <si>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</si>
  <si>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</si>
  <si>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</si>
  <si>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</si>
  <si>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</si>
  <si>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</si>
  <si>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</si>
  <si>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</si>
  <si>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</si>
  <si>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</si>
  <si>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</si>
  <si>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</si>
  <si>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</si>
  <si>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</si>
  <si>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</si>
  <si>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</si>
  <si>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</si>
  <si>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</si>
  <si>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</si>
  <si>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</si>
  <si>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</si>
  <si>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</si>
  <si>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</si>
  <si>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</si>
  <si>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</si>
  <si>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</si>
  <si>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</si>
  <si>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</si>
  <si>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</si>
  <si>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</si>
  <si>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</si>
  <si>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</si>
  <si>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</si>
  <si>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</si>
  <si>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</si>
  <si>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</si>
  <si>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</si>
  <si>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</si>
  <si>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</si>
  <si>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</si>
  <si>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</si>
  <si>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</si>
  <si>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</si>
  <si>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</si>
  <si>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</si>
  <si>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</si>
  <si>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</si>
  <si>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</si>
  <si>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</si>
  <si>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</si>
  <si>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</si>
  <si>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</si>
  <si>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</si>
  <si>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</si>
  <si>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</si>
  <si>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</si>
  <si>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</si>
  <si>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</si>
  <si>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</si>
  <si>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</si>
  <si>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</si>
  <si>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</si>
  <si>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</si>
  <si>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</si>
  <si>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</si>
  <si>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</si>
  <si>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</si>
  <si>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</si>
  <si>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</si>
  <si>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</si>
  <si>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</si>
  <si>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</si>
  <si>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</si>
  <si>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</si>
  <si>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</si>
  <si>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</si>
  <si>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</si>
  <si>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</si>
  <si>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</si>
  <si>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</si>
  <si>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</si>
  <si>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</si>
  <si>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</si>
  <si>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</si>
  <si>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</si>
  <si>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</si>
  <si>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</si>
  <si>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</si>
  <si>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</si>
  <si>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</si>
  <si>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</si>
  <si>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</si>
  <si>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</si>
  <si>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</si>
  <si>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</si>
  <si>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</si>
  <si>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</si>
  <si>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</si>
  <si>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</si>
  <si>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</si>
  <si>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</si>
  <si>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</si>
  <si>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</si>
  <si>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</si>
  <si>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</si>
  <si>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</si>
  <si>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</si>
  <si>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</si>
  <si>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</si>
  <si>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</si>
  <si>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</si>
  <si>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</si>
  <si>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</si>
  <si>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</si>
  <si>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</si>
  <si>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</si>
  <si>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</si>
  <si>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</si>
  <si>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</si>
  <si>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</si>
  <si>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</si>
  <si>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</si>
  <si>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</si>
  <si>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</si>
  <si>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</si>
  <si>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</si>
  <si>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</si>
  <si>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</si>
  <si>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</si>
  <si>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</si>
  <si>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</si>
  <si>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</si>
  <si>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</si>
  <si>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</si>
  <si>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</si>
  <si>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</si>
  <si>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</si>
  <si>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</si>
  <si>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</si>
  <si>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</si>
  <si>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</si>
  <si>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</si>
  <si>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</si>
  <si>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</si>
  <si>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</si>
  <si>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</si>
  <si>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</si>
  <si>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</si>
  <si>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</si>
  <si>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</si>
  <si>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</si>
  <si>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</si>
  <si>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</si>
  <si>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</si>
  <si>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</si>
  <si>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</si>
  <si>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</si>
  <si>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</si>
  <si>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</si>
  <si>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</si>
  <si>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</si>
  <si>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</si>
  <si>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</si>
  <si>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</si>
  <si>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</si>
  <si>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</si>
  <si>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</si>
  <si>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</si>
  <si>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</si>
  <si>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</si>
  <si>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</si>
  <si>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</si>
  <si>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</si>
  <si>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</si>
  <si>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</si>
  <si>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</si>
  <si>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</si>
  <si>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</si>
  <si>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</si>
  <si>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</si>
  <si>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</si>
  <si>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</si>
  <si>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</si>
  <si>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</si>
  <si>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</si>
  <si>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</si>
  <si>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</si>
  <si>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</si>
  <si>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</si>
  <si>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</si>
  <si>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</si>
  <si>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</si>
  <si>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</si>
  <si>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</si>
  <si>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</si>
  <si>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</si>
  <si>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</si>
  <si>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</si>
  <si>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</si>
  <si>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</si>
  <si>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</si>
  <si>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</si>
  <si>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</si>
  <si>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</si>
  <si>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</si>
  <si>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</si>
  <si>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</si>
  <si>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</si>
  <si>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</si>
  <si>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</si>
  <si>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</si>
  <si>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</si>
  <si>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</si>
  <si>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</si>
  <si>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</si>
  <si>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</si>
  <si>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</si>
  <si>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</si>
  <si>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</si>
  <si>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</si>
  <si>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</si>
  <si>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</si>
  <si>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</si>
  <si>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</si>
  <si>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</si>
  <si>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</si>
  <si>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</si>
  <si>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</si>
  <si>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</si>
  <si>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</si>
  <si>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</si>
  <si>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</si>
  <si>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</si>
  <si>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</si>
  <si>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</si>
  <si>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</si>
  <si>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</si>
  <si>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</si>
  <si>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</si>
  <si>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</si>
  <si>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</si>
  <si>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</si>
  <si>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</si>
  <si>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</si>
  <si>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</si>
  <si>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</si>
  <si>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</si>
  <si>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</si>
  <si>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</si>
  <si>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</si>
  <si>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</si>
  <si>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</si>
  <si>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</si>
  <si>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</si>
  <si>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</si>
  <si>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</si>
  <si>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</si>
  <si>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</si>
  <si>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</si>
  <si>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</si>
  <si>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</si>
  <si>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</si>
  <si>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</si>
  <si>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</si>
  <si>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</si>
  <si>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</si>
  <si>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</si>
  <si>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</si>
  <si>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</si>
  <si>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</si>
  <si>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</si>
  <si>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</si>
  <si>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</si>
  <si>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</si>
  <si>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</si>
  <si>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</si>
  <si>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</si>
  <si>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</si>
  <si>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</si>
  <si>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</si>
  <si>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</si>
  <si>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</si>
  <si>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</si>
  <si>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</si>
  <si>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</si>
  <si>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</si>
  <si>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</si>
  <si>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</si>
  <si>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</si>
  <si>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</si>
  <si>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</si>
  <si>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</si>
  <si>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</si>
  <si>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</si>
  <si>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</si>
  <si>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</si>
  <si>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</si>
  <si>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</si>
  <si>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</si>
  <si>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</si>
  <si>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</si>
  <si>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</si>
  <si>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</si>
  <si>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</si>
  <si>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</si>
  <si>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</si>
  <si>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</si>
  <si>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</si>
  <si>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</si>
  <si>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</si>
  <si>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</si>
  <si>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</si>
  <si>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</si>
  <si>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</si>
  <si>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</si>
  <si>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</si>
  <si>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</si>
  <si>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</si>
  <si>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</si>
  <si>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</si>
  <si>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</si>
  <si>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</si>
  <si>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</si>
  <si>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</si>
  <si>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</si>
  <si>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</si>
  <si>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</si>
  <si>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</si>
  <si>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</si>
  <si>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</si>
  <si>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</si>
  <si>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</si>
  <si>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</si>
  <si>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</si>
  <si>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</si>
  <si>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</si>
  <si>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</si>
  <si>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</si>
  <si>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</si>
  <si>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</si>
  <si>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</si>
  <si>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</si>
  <si>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</si>
  <si>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</si>
  <si>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</si>
  <si>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</si>
  <si>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</si>
  <si>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</si>
  <si>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</si>
  <si>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</si>
  <si>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</si>
  <si>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</si>
  <si>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</si>
  <si>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</si>
  <si>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</si>
  <si>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</si>
  <si>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</si>
  <si>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</si>
  <si>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</si>
  <si>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</si>
  <si>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</si>
  <si>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</si>
  <si>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</si>
  <si>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</si>
  <si>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</si>
  <si>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</si>
  <si>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</si>
  <si>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</si>
  <si>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</si>
  <si>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</si>
  <si>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</si>
  <si>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</si>
  <si>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</si>
  <si>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</si>
  <si>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</si>
  <si>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</si>
  <si>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</si>
  <si>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</si>
  <si>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</si>
  <si>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</si>
  <si>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</si>
  <si>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</si>
  <si>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</si>
  <si>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</si>
  <si>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</si>
  <si>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</si>
  <si>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</si>
  <si>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</si>
  <si>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</si>
  <si>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</si>
  <si>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</si>
  <si>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</si>
  <si>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</si>
  <si>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</si>
  <si>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</si>
  <si>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</si>
  <si>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</si>
  <si>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</si>
  <si>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</si>
  <si>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</si>
  <si>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</si>
  <si>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</si>
  <si>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</si>
  <si>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</si>
  <si>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</si>
  <si>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</si>
  <si>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</si>
  <si>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</si>
  <si>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</si>
  <si>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</si>
  <si>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</si>
  <si>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</si>
  <si>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</si>
  <si>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</si>
  <si>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</si>
  <si>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</si>
  <si>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</si>
  <si>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</si>
  <si>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</si>
  <si>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</si>
  <si>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</si>
  <si>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</si>
  <si>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</si>
  <si>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</si>
  <si>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</si>
  <si>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</si>
  <si>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</si>
  <si>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</si>
  <si>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</si>
  <si>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</si>
  <si>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</si>
  <si>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</si>
  <si>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</si>
  <si>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</si>
  <si>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</si>
  <si>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</si>
  <si>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</si>
  <si>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</si>
  <si>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</si>
  <si>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</si>
  <si>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</si>
  <si>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</si>
  <si>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</si>
  <si>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</si>
  <si>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</si>
  <si>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</si>
  <si>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</si>
  <si>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</si>
  <si>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</si>
  <si>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</si>
  <si>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</si>
  <si>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</si>
  <si>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</si>
  <si>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</si>
  <si>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</si>
  <si>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</si>
  <si>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</si>
  <si>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</si>
  <si>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</si>
  <si>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</si>
  <si>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</si>
  <si>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</si>
  <si>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</si>
  <si>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</si>
  <si>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</si>
  <si>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</si>
  <si>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</si>
  <si>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</si>
  <si>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</si>
  <si>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</si>
  <si>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</si>
  <si>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</si>
  <si>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</si>
  <si>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</si>
  <si>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</si>
  <si>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</si>
  <si>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</si>
  <si>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</si>
  <si>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</si>
  <si>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</si>
  <si>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</si>
  <si>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</si>
  <si>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</si>
  <si>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</si>
  <si>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</si>
  <si>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</si>
  <si>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</si>
  <si>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</si>
  <si>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</si>
  <si>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</si>
  <si>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</si>
  <si>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</si>
  <si>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</si>
  <si>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</si>
  <si>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</si>
  <si>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</si>
  <si>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</si>
  <si>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</si>
  <si>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</si>
  <si>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</si>
  <si>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</si>
  <si>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</si>
  <si>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</si>
  <si>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</si>
  <si>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</si>
  <si>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</si>
  <si>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</si>
  <si>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</si>
  <si>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</si>
  <si>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</si>
  <si>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</si>
  <si>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</si>
  <si>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</si>
  <si>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</si>
  <si>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</si>
  <si>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</si>
  <si>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</si>
  <si>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</si>
  <si>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</si>
  <si>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</si>
  <si>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</si>
  <si>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</si>
  <si>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</si>
  <si>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</si>
  <si>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</si>
  <si>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</si>
  <si>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</si>
  <si>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</si>
  <si>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</si>
  <si>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</si>
  <si>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</si>
  <si>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</si>
  <si>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</si>
  <si>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</si>
  <si>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</si>
  <si>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</si>
  <si>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</si>
  <si>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</si>
  <si>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</si>
  <si>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</si>
  <si>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</si>
  <si>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</si>
  <si>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</si>
  <si>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</si>
  <si>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</si>
  <si>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</si>
  <si>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</si>
  <si>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</si>
  <si>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</si>
  <si>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</si>
  <si>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</si>
  <si>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</si>
  <si>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</si>
  <si>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</si>
  <si>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</si>
  <si>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</si>
  <si>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</si>
  <si>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</si>
  <si>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</si>
  <si>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</si>
  <si>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</si>
  <si>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</si>
  <si>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</si>
  <si>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</si>
  <si>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</si>
  <si>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</si>
  <si>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</si>
  <si>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</si>
  <si>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</si>
  <si>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</si>
  <si>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</si>
  <si>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</si>
  <si>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</si>
  <si>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</si>
  <si>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</si>
  <si>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</si>
  <si>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</si>
  <si>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</si>
  <si>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</si>
  <si>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</si>
  <si>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</si>
  <si>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</si>
  <si>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</si>
  <si>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</si>
  <si>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</si>
  <si>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</si>
  <si>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</si>
  <si>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</si>
  <si>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</si>
  <si>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</si>
  <si>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</si>
  <si>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</si>
  <si>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</si>
  <si>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</si>
  <si>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</si>
  <si>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</si>
  <si>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</si>
  <si>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</si>
  <si>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</si>
  <si>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</si>
  <si>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</si>
  <si>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</si>
  <si>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</si>
  <si>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</si>
  <si>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</si>
  <si>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</si>
  <si>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</si>
  <si>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</si>
  <si>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</si>
  <si>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</si>
  <si>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</si>
  <si>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</si>
  <si>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</si>
  <si>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</si>
  <si>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</si>
  <si>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</si>
  <si>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</si>
  <si>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</si>
  <si>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</si>
  <si>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</si>
  <si>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</si>
  <si>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</si>
  <si>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</si>
  <si>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</si>
  <si>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</si>
  <si>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</si>
  <si>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</si>
  <si>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</si>
  <si>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</si>
  <si>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</si>
  <si>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</si>
  <si>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</si>
  <si>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</si>
  <si>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</si>
  <si>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</si>
  <si>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</si>
  <si>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</si>
  <si>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</si>
  <si>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</si>
  <si>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</si>
  <si>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</si>
  <si>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</si>
  <si>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</si>
  <si>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</si>
  <si>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</si>
  <si>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</si>
  <si>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</si>
  <si>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</si>
  <si>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</si>
  <si>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</si>
  <si>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</si>
  <si>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</si>
  <si>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</si>
  <si>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</si>
  <si>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</si>
  <si>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</si>
  <si>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</si>
  <si>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</si>
  <si>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</si>
  <si>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</si>
  <si>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</si>
  <si>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</si>
  <si>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</si>
  <si>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</si>
  <si>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</si>
  <si>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</si>
  <si>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</si>
  <si>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</si>
  <si>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</si>
  <si>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</si>
  <si>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</si>
  <si>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</si>
  <si>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</si>
  <si>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</si>
  <si>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</si>
  <si>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</si>
  <si>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</si>
  <si>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</si>
  <si>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</si>
  <si>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</si>
  <si>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</si>
  <si>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</si>
  <si>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</si>
  <si>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</si>
  <si>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</si>
  <si>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</si>
  <si>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</si>
  <si>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</si>
  <si>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</si>
  <si>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</si>
  <si>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</si>
  <si>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</si>
  <si>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</si>
  <si>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</si>
  <si>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</si>
  <si>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</si>
  <si>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</si>
  <si>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</si>
  <si>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</si>
  <si>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</si>
  <si>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</si>
  <si>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</si>
  <si>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</si>
  <si>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</si>
  <si>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</si>
  <si>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</si>
  <si>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</si>
  <si>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</si>
  <si>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</si>
  <si>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</si>
  <si>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</si>
  <si>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</si>
  <si>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</si>
  <si>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</si>
  <si>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</si>
  <si>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</si>
  <si>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</si>
  <si>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</si>
  <si>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</si>
  <si>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</si>
  <si>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</si>
  <si>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</si>
  <si>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</si>
  <si>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</si>
  <si>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</si>
  <si>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</si>
  <si>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</si>
  <si>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</si>
  <si>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</si>
  <si>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</si>
  <si>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</si>
  <si>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</si>
  <si>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</si>
  <si>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</si>
  <si>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</si>
  <si>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</si>
  <si>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</si>
  <si>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</si>
  <si>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</si>
  <si>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</si>
  <si>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</si>
  <si>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</si>
  <si>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</si>
  <si>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</si>
  <si>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</si>
  <si>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</si>
  <si>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</si>
  <si>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</si>
  <si>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</si>
  <si>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</si>
  <si>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</si>
  <si>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</si>
  <si>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</si>
  <si>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</si>
  <si>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</si>
  <si>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</si>
  <si>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</si>
  <si>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</si>
  <si>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</si>
  <si>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</si>
  <si>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</si>
  <si>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</si>
  <si>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</si>
  <si>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</si>
  <si>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</si>
  <si>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</si>
  <si>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</si>
  <si>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</si>
  <si>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</si>
  <si>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</si>
  <si>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</si>
  <si>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</si>
  <si>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</si>
  <si>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</si>
  <si>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</si>
  <si>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</si>
  <si>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</si>
  <si>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</si>
  <si>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</si>
  <si>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</si>
  <si>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</si>
  <si>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</si>
  <si>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</si>
  <si>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</si>
  <si>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</si>
  <si>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</si>
  <si>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</si>
  <si>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</si>
  <si>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</si>
  <si>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</si>
  <si>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</si>
  <si>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</si>
  <si>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</si>
  <si>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</si>
  <si>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</si>
  <si>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</si>
  <si>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</si>
  <si>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</si>
  <si>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</si>
  <si>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</si>
  <si>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</si>
  <si>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</si>
  <si>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</si>
  <si>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</si>
  <si>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</si>
  <si>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</si>
  <si>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</si>
  <si>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</si>
  <si>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</si>
  <si>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</si>
  <si>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</si>
  <si>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</si>
  <si>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</si>
  <si>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</si>
  <si>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</si>
  <si>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</si>
  <si>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</si>
  <si>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</si>
  <si>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</si>
  <si>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</si>
  <si>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</si>
  <si>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</si>
  <si>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</si>
  <si>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</si>
  <si>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</si>
  <si>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</si>
  <si>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</si>
  <si>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</si>
  <si>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</si>
  <si>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</si>
  <si>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</si>
  <si>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</si>
  <si>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</si>
  <si>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</si>
  <si>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</si>
  <si>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</si>
  <si>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</si>
  <si>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</si>
  <si>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</si>
  <si>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</si>
  <si>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</si>
  <si>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</si>
  <si>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</si>
  <si>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</si>
  <si>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</si>
  <si>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</si>
  <si>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</si>
  <si>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</si>
  <si>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</si>
  <si>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</si>
  <si>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</si>
  <si>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</si>
  <si>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</si>
  <si>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</si>
  <si>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</si>
  <si>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</si>
  <si>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</si>
  <si>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</si>
  <si>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</si>
  <si>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</si>
  <si>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</si>
  <si>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</si>
  <si>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</si>
  <si>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</si>
  <si>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</si>
  <si>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</si>
  <si>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</si>
  <si>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</si>
  <si>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</si>
  <si>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</si>
  <si>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</si>
  <si>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</si>
  <si>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</si>
  <si>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</si>
  <si>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</si>
  <si>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</si>
  <si>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</si>
  <si>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</si>
  <si>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</si>
  <si>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</si>
  <si>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</si>
  <si>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</si>
  <si>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</si>
  <si>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</si>
  <si>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</si>
  <si>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</si>
  <si>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</si>
  <si>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</si>
  <si>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</si>
  <si>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</si>
  <si>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</si>
  <si>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</si>
  <si>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</si>
  <si>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</si>
  <si>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</si>
  <si>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</si>
  <si>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</si>
  <si>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</si>
  <si>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</si>
  <si>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</si>
  <si>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</si>
  <si>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</si>
  <si>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</si>
  <si>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</si>
  <si>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</si>
  <si>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</si>
  <si>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</si>
  <si>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</si>
  <si>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</si>
  <si>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</si>
  <si>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</si>
  <si>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</si>
  <si>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</si>
  <si>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</si>
  <si>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</si>
  <si>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</si>
  <si>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</si>
  <si>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</si>
  <si>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</si>
  <si>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</si>
  <si>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</si>
  <si>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</si>
  <si>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</si>
  <si>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</si>
  <si>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</si>
  <si>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</si>
  <si>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</si>
  <si>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</si>
  <si>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</si>
  <si>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</si>
  <si>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</si>
  <si>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</si>
  <si>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</si>
  <si>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</si>
  <si>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</si>
  <si>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</si>
  <si>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</si>
  <si>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</si>
  <si>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</si>
  <si>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</si>
  <si>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</si>
  <si>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</si>
  <si>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</si>
  <si>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</si>
  <si>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</si>
  <si>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</si>
  <si>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</si>
  <si>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</si>
  <si>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</si>
  <si>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</si>
  <si>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</si>
  <si>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</si>
  <si>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</si>
  <si>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</si>
  <si>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</si>
  <si>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</si>
  <si>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</si>
  <si>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</si>
  <si>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</si>
  <si>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</si>
  <si>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</si>
  <si>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</si>
  <si>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</si>
  <si>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</si>
  <si>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</si>
  <si>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</si>
  <si>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</si>
  <si>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</si>
  <si>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</si>
  <si>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</si>
  <si>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</si>
  <si>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</si>
  <si>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</si>
  <si>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</si>
  <si>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</si>
  <si>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</si>
  <si>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</si>
  <si>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</si>
  <si>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</si>
  <si>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</si>
  <si>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</si>
  <si>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</si>
  <si>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</si>
  <si>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</si>
  <si>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</si>
  <si>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</si>
  <si>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</si>
  <si>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</si>
  <si>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</si>
  <si>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</si>
  <si>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</si>
  <si>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</si>
  <si>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</si>
  <si>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</si>
  <si>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</si>
  <si>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</si>
  <si>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</si>
  <si>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</si>
  <si>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</si>
  <si>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</si>
  <si>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</si>
  <si>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</si>
  <si>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</si>
  <si>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</si>
  <si>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</si>
  <si>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</si>
  <si>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</si>
  <si>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</si>
  <si>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</si>
  <si>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</si>
  <si>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</si>
  <si>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</si>
  <si>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</si>
  <si>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</si>
  <si>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</si>
  <si>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</si>
  <si>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</si>
  <si>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</si>
  <si>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</si>
  <si>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</si>
  <si>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</si>
  <si>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</si>
  <si>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</si>
  <si>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</si>
  <si>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</si>
  <si>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</si>
  <si>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</si>
  <si>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</si>
  <si>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</si>
  <si>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</si>
  <si>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</si>
  <si>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</si>
  <si>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</si>
  <si>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</si>
  <si>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</si>
  <si>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</si>
  <si>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</si>
  <si>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</si>
  <si>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</si>
  <si>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</si>
  <si>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</si>
  <si>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</si>
  <si>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</si>
  <si>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</si>
  <si>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</si>
  <si>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</si>
  <si>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</si>
  <si>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</si>
  <si>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</si>
  <si>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</si>
  <si>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</si>
  <si>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</si>
  <si>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</si>
  <si>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</si>
  <si>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</si>
  <si>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</si>
  <si>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</si>
  <si>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</si>
  <si>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</si>
  <si>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</si>
  <si>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</si>
  <si>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</si>
  <si>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</si>
  <si>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</si>
  <si>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</si>
  <si>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</si>
  <si>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</si>
  <si>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</si>
  <si>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</si>
  <si>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</si>
  <si>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</si>
  <si>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</si>
  <si>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</si>
  <si>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</si>
  <si>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</si>
  <si>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</si>
  <si>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</si>
  <si>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</si>
  <si>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</si>
  <si>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</si>
  <si>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</si>
  <si>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</si>
  <si>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</si>
  <si>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</si>
  <si>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</si>
  <si>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</si>
  <si>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</si>
  <si>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</si>
  <si>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</si>
  <si>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</si>
  <si>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</si>
  <si>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</si>
  <si>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</si>
  <si>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</si>
  <si>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</si>
  <si>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</si>
  <si>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</si>
  <si>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</si>
  <si>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</si>
  <si>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</si>
  <si>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</si>
  <si>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</si>
  <si>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</si>
  <si>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</si>
  <si>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</si>
  <si>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</si>
  <si>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</si>
  <si>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</si>
  <si>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</si>
  <si>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</si>
  <si>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</si>
  <si>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</si>
  <si>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</si>
  <si>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</si>
  <si>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</si>
  <si>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</si>
  <si>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</si>
  <si>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</si>
  <si>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</si>
  <si>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</si>
  <si>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</si>
  <si>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</si>
  <si>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</si>
  <si>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</si>
  <si>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</si>
  <si>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</si>
  <si>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</si>
  <si>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</si>
  <si>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</si>
  <si>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</si>
  <si>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</si>
  <si>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</si>
  <si>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</si>
  <si>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</si>
  <si>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</si>
  <si>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</si>
  <si>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</si>
  <si>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</si>
  <si>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</si>
  <si>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</si>
  <si>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</si>
  <si>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</si>
  <si>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</si>
  <si>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</si>
  <si>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</si>
  <si>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</si>
  <si>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</si>
  <si>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</si>
  <si>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</si>
  <si>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</si>
  <si>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</si>
  <si>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</si>
  <si>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</si>
  <si>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</si>
  <si>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</si>
  <si>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</si>
  <si>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</si>
  <si>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</si>
  <si>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</si>
  <si>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</si>
  <si>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</si>
  <si>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</si>
  <si>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</si>
  <si>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</si>
  <si>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</si>
  <si>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</si>
  <si>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</si>
  <si>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</si>
  <si>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</si>
  <si>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</si>
  <si>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</si>
  <si>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</si>
  <si>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</si>
  <si>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</si>
  <si>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</si>
  <si>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</si>
  <si>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</si>
  <si>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</si>
  <si>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</si>
  <si>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</si>
  <si>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</si>
  <si>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</si>
  <si>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</si>
  <si>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</si>
  <si>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</si>
  <si>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</si>
  <si>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</si>
  <si>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</si>
  <si>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</si>
  <si>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</si>
  <si>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</si>
  <si>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</si>
  <si>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</si>
  <si>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</si>
  <si>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</si>
  <si>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</si>
  <si>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</si>
  <si>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</si>
  <si>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</si>
  <si>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</si>
  <si>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</si>
  <si>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</si>
  <si>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</si>
  <si>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</si>
  <si>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</si>
  <si>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</si>
  <si>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</si>
  <si>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</si>
  <si>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</si>
  <si>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</si>
  <si>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</si>
  <si>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</si>
  <si>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</si>
  <si>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</si>
  <si>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</si>
  <si>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</si>
  <si>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</si>
  <si>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</si>
  <si>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</si>
  <si>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</si>
  <si>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</si>
  <si>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</si>
  <si>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</si>
  <si>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</si>
  <si>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</si>
  <si>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</si>
  <si>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</si>
  <si>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</si>
  <si>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</si>
  <si>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</si>
  <si>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</si>
  <si>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</si>
  <si>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</si>
  <si>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</si>
  <si>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</si>
  <si>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</si>
  <si>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</si>
  <si>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</si>
  <si>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</si>
  <si>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</si>
  <si>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</si>
  <si>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</si>
  <si>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</si>
  <si>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</si>
  <si>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</si>
  <si>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</si>
  <si>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</si>
  <si>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</si>
  <si>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</si>
  <si>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</si>
  <si>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</si>
  <si>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</si>
  <si>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</si>
  <si>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</si>
  <si>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</si>
  <si>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</si>
  <si>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</si>
  <si>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</si>
  <si>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</si>
  <si>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</si>
  <si>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</si>
  <si>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</si>
  <si>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</si>
  <si>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</si>
  <si>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</si>
  <si>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</si>
  <si>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</si>
  <si>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</si>
  <si>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</si>
  <si>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</si>
  <si>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</si>
  <si>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</si>
  <si>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</si>
  <si>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</si>
  <si>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</si>
  <si>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</si>
  <si>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</si>
  <si>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</si>
  <si>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</si>
  <si>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</si>
  <si>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</si>
  <si>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</si>
  <si>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</si>
  <si>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</si>
  <si>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</si>
  <si>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</si>
  <si>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</si>
  <si>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</si>
  <si>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</si>
  <si>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</si>
  <si>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</si>
  <si>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</si>
  <si>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</si>
  <si>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</si>
  <si>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</si>
  <si>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</si>
  <si>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</si>
  <si>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</si>
  <si>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</si>
  <si>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</si>
  <si>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</si>
  <si>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</si>
  <si>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</si>
  <si>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</si>
  <si>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</si>
  <si>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</si>
  <si>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</si>
  <si>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</si>
  <si>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</si>
  <si>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</si>
  <si>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</si>
  <si>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</si>
  <si>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</si>
  <si>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</si>
  <si>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</si>
  <si>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</si>
  <si>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</si>
  <si>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</si>
  <si>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</si>
  <si>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</si>
  <si>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</si>
  <si>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</si>
  <si>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</si>
  <si>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</si>
  <si>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</si>
  <si>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</si>
  <si>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</si>
  <si>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</si>
  <si>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</si>
  <si>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</si>
  <si>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</si>
  <si>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</si>
  <si>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</si>
  <si>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</si>
  <si>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</si>
  <si>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</si>
  <si>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</si>
  <si>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</si>
  <si>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</si>
  <si>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</si>
  <si>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</si>
  <si>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</si>
  <si>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</si>
  <si>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</si>
  <si>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</si>
  <si>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</si>
  <si>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</si>
  <si>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</si>
  <si>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</si>
  <si>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</si>
  <si>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</si>
  <si>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</si>
  <si>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</si>
  <si>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</si>
  <si>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</si>
  <si>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</si>
  <si>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</si>
  <si>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</si>
  <si>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</si>
  <si>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</si>
  <si>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</si>
  <si>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</si>
  <si>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</si>
  <si>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</si>
  <si>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</si>
  <si>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</si>
  <si>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</si>
  <si>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</si>
  <si>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</si>
  <si>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</si>
  <si>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</si>
  <si>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</si>
  <si>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</si>
  <si>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</si>
  <si>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</si>
  <si>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</si>
  <si>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</si>
  <si>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</si>
  <si>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</si>
  <si>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</si>
  <si>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</si>
  <si>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</si>
  <si>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</si>
  <si>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</si>
  <si>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</si>
  <si>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</si>
  <si>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</si>
  <si>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</si>
  <si>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</si>
  <si>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</si>
  <si>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</si>
  <si>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</si>
  <si>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</si>
  <si>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</si>
  <si>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</si>
  <si>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</si>
  <si>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</si>
  <si>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</si>
  <si>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</si>
  <si>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</si>
  <si>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</si>
  <si>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</si>
  <si>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</si>
  <si>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</si>
  <si>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</si>
  <si>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</si>
  <si>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</si>
  <si>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</si>
  <si>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</si>
  <si>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</si>
  <si>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</si>
  <si>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</si>
  <si>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</si>
  <si>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</si>
  <si>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</si>
  <si>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</si>
  <si>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</si>
  <si>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</si>
  <si>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</si>
  <si>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</si>
  <si>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</si>
  <si>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</si>
  <si>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</si>
  <si>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</si>
  <si>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</si>
  <si>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</si>
  <si>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</si>
  <si>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</si>
  <si>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</si>
  <si>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</si>
  <si>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</si>
  <si>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</si>
  <si>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</si>
  <si>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</si>
  <si>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</si>
  <si>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</si>
  <si>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</si>
  <si>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</si>
  <si>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</si>
  <si>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</si>
  <si>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</si>
  <si>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</si>
  <si>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</si>
  <si>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</si>
  <si>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</si>
  <si>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</si>
  <si>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</si>
  <si>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</si>
  <si>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</si>
  <si>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</si>
  <si>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</si>
  <si>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</si>
  <si>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</si>
  <si>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</si>
  <si>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</si>
  <si>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</si>
  <si>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</si>
  <si>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</si>
  <si>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</si>
  <si>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</si>
  <si>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</si>
  <si>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</si>
  <si>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</si>
  <si>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</si>
  <si>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</si>
  <si>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</si>
  <si>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</si>
  <si>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</si>
  <si>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</si>
  <si>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</si>
  <si>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</si>
  <si>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</si>
  <si>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</si>
  <si>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</si>
  <si>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</si>
  <si>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</si>
  <si>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</si>
  <si>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</si>
  <si>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</si>
  <si>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</si>
  <si>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</si>
  <si>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</si>
  <si>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</si>
  <si>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</si>
  <si>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</si>
  <si>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</si>
  <si>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</si>
  <si>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</si>
  <si>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</si>
  <si>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</si>
  <si>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</si>
  <si>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</si>
  <si>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</si>
  <si>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</si>
  <si>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</si>
  <si>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</si>
  <si>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</si>
  <si>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</si>
  <si>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</si>
  <si>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</si>
  <si>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</si>
  <si>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</si>
  <si>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</si>
  <si>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</si>
  <si>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</si>
  <si>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</si>
  <si>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</si>
  <si>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</si>
  <si>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</si>
  <si>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</si>
  <si>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</si>
  <si>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</si>
  <si>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</si>
  <si>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</si>
  <si>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</si>
  <si>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</si>
  <si>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</si>
  <si>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</si>
  <si>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</si>
  <si>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</si>
  <si>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</si>
  <si>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</si>
  <si>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</si>
  <si>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</si>
  <si>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</si>
  <si>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</si>
  <si>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</si>
  <si>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</si>
  <si>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</si>
  <si>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</si>
  <si>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</si>
  <si>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</si>
  <si>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</si>
  <si>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</si>
  <si>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</si>
  <si>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</si>
  <si>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</si>
  <si>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</si>
  <si>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</si>
  <si>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</si>
  <si>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</si>
  <si>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</si>
  <si>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</si>
  <si>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</si>
  <si>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</si>
  <si>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</si>
  <si>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</si>
  <si>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</si>
  <si>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</si>
  <si>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</si>
  <si>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</si>
  <si>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</si>
  <si>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</si>
  <si>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</si>
  <si>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</si>
  <si>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</si>
  <si>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</si>
  <si>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</si>
  <si>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</si>
  <si>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</si>
  <si>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</si>
  <si>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</si>
  <si>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</si>
  <si>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</si>
  <si>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</si>
  <si>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</si>
  <si>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</si>
  <si>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</si>
  <si>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</si>
  <si>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</si>
  <si>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</si>
  <si>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</si>
  <si>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</si>
  <si>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</si>
  <si>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</si>
  <si>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</si>
  <si>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</si>
  <si>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</si>
  <si>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</si>
  <si>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</si>
  <si>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</si>
  <si>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</si>
  <si>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</si>
  <si>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</si>
  <si>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</si>
  <si>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</si>
  <si>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</si>
  <si>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</si>
  <si>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</si>
  <si>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</si>
  <si>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</si>
  <si>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</si>
  <si>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</si>
  <si>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</si>
  <si>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</si>
  <si>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</si>
  <si>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</si>
  <si>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</si>
  <si>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</si>
  <si>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</si>
  <si>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</si>
  <si>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</si>
  <si>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</si>
  <si>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</si>
  <si>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</si>
  <si>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</si>
  <si>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</si>
  <si>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</si>
  <si>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</si>
  <si>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</si>
  <si>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</si>
  <si>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</si>
  <si>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</si>
  <si>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</si>
  <si>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</si>
  <si>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</si>
  <si>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</si>
  <si>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</si>
  <si>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</si>
  <si>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</si>
  <si>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</si>
  <si>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</si>
  <si>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</si>
  <si>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</si>
  <si>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</si>
  <si>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</si>
  <si>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</si>
  <si>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</si>
  <si>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</si>
  <si>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</si>
  <si>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</si>
  <si>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</si>
  <si>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</si>
  <si>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</si>
  <si>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</si>
  <si>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</si>
  <si>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</si>
  <si>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</si>
  <si>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</si>
  <si>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</si>
  <si>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</si>
  <si>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</si>
  <si>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</si>
  <si>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</si>
  <si>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</si>
  <si>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</si>
  <si>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</si>
  <si>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</si>
  <si>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</si>
  <si>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</si>
  <si>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</si>
  <si>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</si>
  <si>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</si>
  <si>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</si>
  <si>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</si>
  <si>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</si>
  <si>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</si>
  <si>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</si>
  <si>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</si>
  <si>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</si>
  <si>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</si>
  <si>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</si>
  <si>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</si>
  <si>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</si>
  <si>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</si>
  <si>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</si>
  <si>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</si>
  <si>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</si>
  <si>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</si>
  <si>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</si>
  <si>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</si>
  <si>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</si>
  <si>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</si>
  <si>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</si>
  <si>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</si>
  <si>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</si>
  <si>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</si>
  <si>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</si>
  <si>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</si>
  <si>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</si>
  <si>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</si>
  <si>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</si>
  <si>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</si>
  <si>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</si>
  <si>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</si>
  <si>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</si>
  <si>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</si>
  <si>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</si>
  <si>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</si>
  <si>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</si>
  <si>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</si>
  <si>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</si>
  <si>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</si>
  <si>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</si>
  <si>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</si>
  <si>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</si>
  <si>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</si>
  <si>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</si>
  <si>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</si>
  <si>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</si>
  <si>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</si>
  <si>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</si>
  <si>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</si>
  <si>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</si>
  <si>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</si>
  <si>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</si>
  <si>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</si>
  <si>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</si>
  <si>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</si>
  <si>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</si>
  <si>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</si>
  <si>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</si>
  <si>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</si>
  <si>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</si>
  <si>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</si>
  <si>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</si>
  <si>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</si>
  <si>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</si>
  <si>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</si>
  <si>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</si>
  <si>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</si>
  <si>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</si>
  <si>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</si>
  <si>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</si>
  <si>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</si>
  <si>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</si>
  <si>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</si>
  <si>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</si>
  <si>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</si>
  <si>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</si>
  <si>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</si>
  <si>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</si>
  <si>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</si>
  <si>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</si>
  <si>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</si>
  <si>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</si>
  <si>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</si>
  <si>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</si>
  <si>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</si>
  <si>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</si>
  <si>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</si>
  <si>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</si>
  <si>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</si>
  <si>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</si>
  <si>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</si>
  <si>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</si>
  <si>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</si>
  <si>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</si>
  <si>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</si>
  <si>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</si>
  <si>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</si>
  <si>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</si>
  <si>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</si>
  <si>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</si>
  <si>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</si>
  <si>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</si>
  <si>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</si>
  <si>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</si>
  <si>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</si>
  <si>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</si>
  <si>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</si>
  <si>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</si>
  <si>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</si>
  <si>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</si>
  <si>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</si>
  <si>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</si>
  <si>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</si>
  <si>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</si>
  <si>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</si>
  <si>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</si>
  <si>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</si>
  <si>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</si>
  <si>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</si>
  <si>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</si>
  <si>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</si>
  <si>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</si>
  <si>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</si>
  <si>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</si>
  <si>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</si>
  <si>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</si>
  <si>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</si>
  <si>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</si>
  <si>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</si>
  <si>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</si>
  <si>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</si>
  <si>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</si>
  <si>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</si>
  <si>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</si>
  <si>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</si>
  <si>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</si>
  <si>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</si>
  <si>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</si>
  <si>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</si>
  <si>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</si>
  <si>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</si>
  <si>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</si>
  <si>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</si>
  <si>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</si>
  <si>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</si>
  <si>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</si>
  <si>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</si>
  <si>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</si>
  <si>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</si>
  <si>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</si>
  <si>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</si>
  <si>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</si>
  <si>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</si>
  <si>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</si>
  <si>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</si>
  <si>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</si>
  <si>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</si>
  <si>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</si>
  <si>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</si>
  <si>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</si>
  <si>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</si>
  <si>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</si>
  <si>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</si>
  <si>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</si>
  <si>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</si>
  <si>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</si>
  <si>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</si>
  <si>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</si>
  <si>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</si>
  <si>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</si>
  <si>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</si>
  <si>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</si>
  <si>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</si>
  <si>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</si>
  <si>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</si>
  <si>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</si>
  <si>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</si>
  <si>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</si>
  <si>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</si>
  <si>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</si>
  <si>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</si>
  <si>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</si>
  <si>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</si>
  <si>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</si>
  <si>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</si>
  <si>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</si>
  <si>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</si>
  <si>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</si>
  <si>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</si>
  <si>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</si>
  <si>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</si>
  <si>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</si>
  <si>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</si>
  <si>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</si>
  <si>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</si>
  <si>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</si>
  <si>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</si>
  <si>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</si>
  <si>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</si>
  <si>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</si>
  <si>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</si>
  <si>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</si>
  <si>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</si>
  <si>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</si>
  <si>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</si>
  <si>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</si>
  <si>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</si>
  <si>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</si>
  <si>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</si>
  <si>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</si>
  <si>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</si>
  <si>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</si>
  <si>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</si>
  <si>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</si>
  <si>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</si>
  <si>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</si>
  <si>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</si>
  <si>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</si>
  <si>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</si>
  <si>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</si>
  <si>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</si>
  <si>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</si>
  <si>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</si>
  <si>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</si>
  <si>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</si>
  <si>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</si>
  <si>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</si>
  <si>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</si>
  <si>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</si>
  <si>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</si>
  <si>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</si>
  <si>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</si>
  <si>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</si>
  <si>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</si>
  <si>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</si>
  <si>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</si>
  <si>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</si>
  <si>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</si>
  <si>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</si>
  <si>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</si>
  <si>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</si>
  <si>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</si>
  <si>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</si>
  <si>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</si>
  <si>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</si>
  <si>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</si>
  <si>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</si>
  <si>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</si>
  <si>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</si>
  <si>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</si>
  <si>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</si>
  <si>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</si>
  <si>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</si>
  <si>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</si>
  <si>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</si>
  <si>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</si>
  <si>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</si>
  <si>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</si>
  <si>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</si>
  <si>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</si>
  <si>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</si>
  <si>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</si>
  <si>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</si>
  <si>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</si>
  <si>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</si>
  <si>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</si>
  <si>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</si>
  <si>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</si>
  <si>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</si>
  <si>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</si>
  <si>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</si>
  <si>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</si>
  <si>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</si>
  <si>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</si>
  <si>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</si>
  <si>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</si>
  <si>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</si>
  <si>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</si>
  <si>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</si>
  <si>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</si>
  <si>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</si>
  <si>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</si>
  <si>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</si>
  <si>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</si>
  <si>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</si>
  <si>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</si>
  <si>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</si>
  <si>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</si>
  <si>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</si>
  <si>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</si>
  <si>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</si>
  <si>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</si>
  <si>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</si>
  <si>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</si>
  <si>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</si>
  <si>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</si>
  <si>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</si>
  <si>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</si>
  <si>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</si>
  <si>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</si>
  <si>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</si>
  <si>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</si>
  <si>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</si>
  <si>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</si>
  <si>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</si>
  <si>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</si>
  <si>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</si>
  <si>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</si>
  <si>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</si>
  <si>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</si>
  <si>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</si>
  <si>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</si>
  <si>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</si>
  <si>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</si>
  <si>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</si>
  <si>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</si>
  <si>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</si>
  <si>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</si>
  <si>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</si>
  <si>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</si>
  <si>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</si>
  <si>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</si>
  <si>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</si>
  <si>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</si>
  <si>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</si>
  <si>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</si>
  <si>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</si>
  <si>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</si>
  <si>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</si>
  <si>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</si>
  <si>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</si>
  <si>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</si>
  <si>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</si>
  <si>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</si>
  <si>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</si>
  <si>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</si>
  <si>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</si>
  <si>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</si>
  <si>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</si>
  <si>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</si>
  <si>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</si>
  <si>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</si>
  <si>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</si>
  <si>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</si>
  <si>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</si>
  <si>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</si>
  <si>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</si>
  <si>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</si>
  <si>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</si>
  <si>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</si>
  <si>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</si>
  <si>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</si>
  <si>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</si>
  <si>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</si>
  <si>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</si>
  <si>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</si>
  <si>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</si>
  <si>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</si>
  <si>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</si>
  <si>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</si>
  <si>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</si>
  <si>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</si>
  <si>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</si>
  <si>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</si>
  <si>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</si>
  <si>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</si>
  <si>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</si>
  <si>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</si>
  <si>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</si>
  <si>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</si>
  <si>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</si>
  <si>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</si>
  <si>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</si>
  <si>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</si>
  <si>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</si>
  <si>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</si>
  <si>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</si>
  <si>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</si>
  <si>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</si>
  <si>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</si>
  <si>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</si>
  <si>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</si>
  <si>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</si>
  <si>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</si>
  <si>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</si>
  <si>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</si>
  <si>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</si>
  <si>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</si>
  <si>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</si>
  <si>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</si>
  <si>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</si>
  <si>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</si>
  <si>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</si>
  <si>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</si>
  <si>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</si>
  <si>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</si>
  <si>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</si>
  <si>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</si>
  <si>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</si>
  <si>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</si>
  <si>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</si>
  <si>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</si>
  <si>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</si>
  <si>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</si>
  <si>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</si>
  <si>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</si>
  <si>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</si>
  <si>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</si>
  <si>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</si>
  <si>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</si>
  <si>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</si>
  <si>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</si>
  <si>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</si>
  <si>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</si>
  <si>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</si>
  <si>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</si>
  <si>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</si>
  <si>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</si>
  <si>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</si>
  <si>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</si>
  <si>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</si>
  <si>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</si>
  <si>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</si>
  <si>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</si>
  <si>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</si>
  <si>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</si>
  <si>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</si>
  <si>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</si>
  <si>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</si>
  <si>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</si>
  <si>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</si>
  <si>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</si>
  <si>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</si>
  <si>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</si>
  <si>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</si>
  <si>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</si>
  <si>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</si>
  <si>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</si>
  <si>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</si>
  <si>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</si>
  <si>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</si>
  <si>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</si>
  <si>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</si>
  <si>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</si>
  <si>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</si>
  <si>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</si>
  <si>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</si>
  <si>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</si>
  <si>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</si>
  <si>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</si>
  <si>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</si>
  <si>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</si>
  <si>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</si>
  <si>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</si>
  <si>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</si>
  <si>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</si>
  <si>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</si>
  <si>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</si>
  <si>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</si>
  <si>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</si>
  <si>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</si>
  <si>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</si>
  <si>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</si>
  <si>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</si>
  <si>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</si>
  <si>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</si>
  <si>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</si>
  <si>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</si>
  <si>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</si>
  <si>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</si>
  <si>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</si>
  <si>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</si>
  <si>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</si>
  <si>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</si>
  <si>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</si>
  <si>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</si>
  <si>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</si>
  <si>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</si>
  <si>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</si>
  <si>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</si>
  <si>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</si>
  <si>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</si>
  <si>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</si>
  <si>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</si>
  <si>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</si>
  <si>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</si>
  <si>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</si>
  <si>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</si>
  <si>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</si>
  <si>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</si>
  <si>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</si>
  <si>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</si>
  <si>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</si>
  <si>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</si>
  <si>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</si>
  <si>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</si>
  <si>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</si>
  <si>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</si>
  <si>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</si>
  <si>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</si>
  <si>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</si>
  <si>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</si>
  <si>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</si>
  <si>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</si>
  <si>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</si>
  <si>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</si>
  <si>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</si>
  <si>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</si>
  <si>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</si>
  <si>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</si>
  <si>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</si>
  <si>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</si>
  <si>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</si>
  <si>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</si>
  <si>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</si>
  <si>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</si>
  <si>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</si>
  <si>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</si>
  <si>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</si>
  <si>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</si>
  <si>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</si>
  <si>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</si>
  <si>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</si>
  <si>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</si>
  <si>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</si>
  <si>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</si>
  <si>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</si>
  <si>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</si>
  <si>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</si>
  <si>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</si>
  <si>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</si>
  <si>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</si>
  <si>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</si>
  <si>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</si>
  <si>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</si>
  <si>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</si>
  <si>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</si>
  <si>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</si>
  <si>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</si>
  <si>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</si>
  <si>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</si>
  <si>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</si>
  <si>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</si>
  <si>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</si>
  <si>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</si>
  <si>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</si>
  <si>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</si>
  <si>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</si>
  <si>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</si>
  <si>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</si>
  <si>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</si>
  <si>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</si>
  <si>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</si>
  <si>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</si>
  <si>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</si>
  <si>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</si>
  <si>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</si>
  <si>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</si>
  <si>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</si>
  <si>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</si>
  <si>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</si>
  <si>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</si>
  <si>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</si>
  <si>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</si>
  <si>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</si>
  <si>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</si>
  <si>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</si>
  <si>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</si>
  <si>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</si>
  <si>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</si>
  <si>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</si>
  <si>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</si>
  <si>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</si>
  <si>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</si>
  <si>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</si>
  <si>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</si>
  <si>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</si>
  <si>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</si>
  <si>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</si>
  <si>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</si>
  <si>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</si>
  <si>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</si>
  <si>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</si>
  <si>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</si>
  <si>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</si>
  <si>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</si>
  <si>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</si>
  <si>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</si>
  <si>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</si>
  <si>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</si>
  <si>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</si>
  <si>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</si>
  <si>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</si>
  <si>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</si>
  <si>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</si>
  <si>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</si>
  <si>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</si>
  <si>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</si>
  <si>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</si>
  <si>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</si>
  <si>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</si>
  <si>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</si>
  <si>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</si>
  <si>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</si>
  <si>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</si>
  <si>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</si>
  <si>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</si>
  <si>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</si>
  <si>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</si>
  <si>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</si>
  <si>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</si>
  <si>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</si>
  <si>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</si>
  <si>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</si>
  <si>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</si>
  <si>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</si>
  <si>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</si>
  <si>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</si>
  <si>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</si>
  <si>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</si>
  <si>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</si>
  <si>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</si>
  <si>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</si>
  <si>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</si>
  <si>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</si>
  <si>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</si>
  <si>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</si>
  <si>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</si>
  <si>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</si>
  <si>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</si>
  <si>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</si>
  <si>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</si>
  <si>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</si>
  <si>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</si>
  <si>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</si>
  <si>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</si>
  <si>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</si>
  <si>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</si>
  <si>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</si>
  <si>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</si>
  <si>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</si>
  <si>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</si>
  <si>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</si>
  <si>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</si>
  <si>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</si>
  <si>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</si>
  <si>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</si>
  <si>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</si>
  <si>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</si>
  <si>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</si>
  <si>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</si>
  <si>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</si>
  <si>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</si>
  <si>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</si>
  <si>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</si>
  <si>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</si>
  <si>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</si>
  <si>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</si>
  <si>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</si>
  <si>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</si>
  <si>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</si>
  <si>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</si>
  <si>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</si>
  <si>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</si>
  <si>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</si>
  <si>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</si>
  <si>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</si>
  <si>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</si>
  <si>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</si>
  <si>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</si>
  <si>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</si>
  <si>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</si>
  <si>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</si>
  <si>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</si>
  <si>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</si>
  <si>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</si>
  <si>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</si>
  <si>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</si>
  <si>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</si>
  <si>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</si>
  <si>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</si>
  <si>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</si>
  <si>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</si>
  <si>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</si>
  <si>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</si>
  <si>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</si>
  <si>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</si>
  <si>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</si>
  <si>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</si>
  <si>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</si>
  <si>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</si>
  <si>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</si>
  <si>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</si>
  <si>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</si>
  <si>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</si>
  <si>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</si>
  <si>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</si>
  <si>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</si>
  <si>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</si>
  <si>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</si>
  <si>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</si>
  <si>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</si>
  <si>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</si>
  <si>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</si>
  <si>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</si>
  <si>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</si>
  <si>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</si>
  <si>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</si>
  <si>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</si>
  <si>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</si>
  <si>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</si>
  <si>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</si>
  <si>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</si>
  <si>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</si>
  <si>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</si>
  <si>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</si>
  <si>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</si>
  <si>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</si>
  <si>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</si>
  <si>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</si>
  <si>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</si>
  <si>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</si>
  <si>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</si>
  <si>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</si>
  <si>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</si>
  <si>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</si>
  <si>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</si>
  <si>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</si>
  <si>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</si>
  <si>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</si>
  <si>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</si>
  <si>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</si>
  <si>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</si>
  <si>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</si>
  <si>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</si>
  <si>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</si>
  <si>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</si>
  <si>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</si>
  <si>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</si>
  <si>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</si>
  <si>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</si>
  <si>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</si>
  <si>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</si>
  <si>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</si>
  <si>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</si>
  <si>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</si>
  <si>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</si>
  <si>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</si>
  <si>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</si>
  <si>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</si>
  <si>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</si>
  <si>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</si>
  <si>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</si>
  <si>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</si>
  <si>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</si>
  <si>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</si>
  <si>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</si>
  <si>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</si>
  <si>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</si>
  <si>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</si>
  <si>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</si>
  <si>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</si>
  <si>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</si>
  <si>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</si>
  <si>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</si>
  <si>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</si>
  <si>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</si>
  <si>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</si>
  <si>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</si>
  <si>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</si>
  <si>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</si>
  <si>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</si>
  <si>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</si>
  <si>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</si>
  <si>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</si>
  <si>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</si>
  <si>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</si>
  <si>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</si>
  <si>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</si>
  <si>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</si>
  <si>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</si>
  <si>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</si>
  <si>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</si>
  <si>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</si>
  <si>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</si>
  <si>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</si>
  <si>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</si>
  <si>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</si>
  <si>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</si>
  <si>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</si>
  <si>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</si>
  <si>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</si>
  <si>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</si>
  <si>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</si>
  <si>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</si>
  <si>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</si>
  <si>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</si>
  <si>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</si>
  <si>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</si>
  <si>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</si>
  <si>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</si>
  <si>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</si>
  <si>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</si>
  <si>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</si>
  <si>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</si>
  <si>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</si>
  <si>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</si>
  <si>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</si>
  <si>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</si>
  <si>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</si>
  <si>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</si>
  <si>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</si>
  <si>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</si>
  <si>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</si>
  <si>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</si>
  <si>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</si>
  <si>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</si>
  <si>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</si>
  <si>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</si>
  <si>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</si>
  <si>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</si>
  <si>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</si>
  <si>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</si>
  <si>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</si>
  <si>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</si>
  <si>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</si>
  <si>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</si>
  <si>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</si>
  <si>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</si>
  <si>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</si>
  <si>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</si>
  <si>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</si>
  <si>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</si>
  <si>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</si>
  <si>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</si>
  <si>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</si>
  <si>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</si>
  <si>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</si>
  <si>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</si>
  <si>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</si>
  <si>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</si>
  <si>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</si>
  <si>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</si>
  <si>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</si>
  <si>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</si>
  <si>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</si>
  <si>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</si>
  <si>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</si>
  <si>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</si>
  <si>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</si>
  <si>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</si>
  <si>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</si>
  <si>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</si>
  <si>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</si>
  <si>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</si>
  <si>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</si>
  <si>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</si>
  <si>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</si>
  <si>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</si>
  <si>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</si>
  <si>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</si>
  <si>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</si>
  <si>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</si>
  <si>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</si>
  <si>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</si>
  <si>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</si>
  <si>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</si>
  <si>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</si>
  <si>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</si>
  <si>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</si>
  <si>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</si>
  <si>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</si>
  <si>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</si>
  <si>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</si>
  <si>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</si>
  <si>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</si>
  <si>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</si>
  <si>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</si>
  <si>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</si>
  <si>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</si>
  <si>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</si>
  <si>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</si>
  <si>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</si>
  <si>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</si>
  <si>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</si>
  <si>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</si>
  <si>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</si>
  <si>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</si>
  <si>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</si>
  <si>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</si>
  <si>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</si>
  <si>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</si>
  <si>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</si>
  <si>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</si>
  <si>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</si>
  <si>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</si>
  <si>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</si>
  <si>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</si>
  <si>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</si>
  <si>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</si>
  <si>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</si>
  <si>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</si>
  <si>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</si>
  <si>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</si>
  <si>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</si>
  <si>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</si>
  <si>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</si>
  <si>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</si>
  <si>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</si>
  <si>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</si>
  <si>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</si>
  <si>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</si>
  <si>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</si>
  <si>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</si>
  <si>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</si>
  <si>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</si>
  <si>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</si>
  <si>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</si>
  <si>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</si>
  <si>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</si>
  <si>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</si>
  <si>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</si>
  <si>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</si>
  <si>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</si>
  <si>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</si>
  <si>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</si>
  <si>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</si>
  <si>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</si>
  <si>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</si>
  <si>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</si>
  <si>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</si>
  <si>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</si>
  <si>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</si>
  <si>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</si>
  <si>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</si>
  <si>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</si>
  <si>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</si>
  <si>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</si>
  <si>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</si>
  <si>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</si>
  <si>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</si>
  <si>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</si>
  <si>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</si>
  <si>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</si>
  <si>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</si>
  <si>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</si>
  <si>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</si>
  <si>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</si>
  <si>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</si>
  <si>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</si>
  <si>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</si>
  <si>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</si>
  <si>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</si>
  <si>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</si>
  <si>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</si>
  <si>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</si>
  <si>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</si>
  <si>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</si>
  <si>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</si>
  <si>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</si>
  <si>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</si>
  <si>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</si>
  <si>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</si>
  <si>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</si>
  <si>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</si>
  <si>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</si>
  <si>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</si>
  <si>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</si>
  <si>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</si>
  <si>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</si>
  <si>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</si>
  <si>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</si>
  <si>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</si>
  <si>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</si>
  <si>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</si>
  <si>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</si>
  <si>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</si>
  <si>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</si>
  <si>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</si>
  <si>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</si>
  <si>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</si>
  <si>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</si>
  <si>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</si>
  <si>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</si>
  <si>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</si>
  <si>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</si>
  <si>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</si>
  <si>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</si>
  <si>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</si>
  <si>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</si>
  <si>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</si>
  <si>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</si>
  <si>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</si>
  <si>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</si>
  <si>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</si>
  <si>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</si>
  <si>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</si>
  <si>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</si>
  <si>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</si>
  <si>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</si>
  <si>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</si>
  <si>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</si>
  <si>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</si>
  <si>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</si>
  <si>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</si>
  <si>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</si>
  <si>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</si>
  <si>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</si>
  <si>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</si>
  <si>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</si>
  <si>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</si>
  <si>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</si>
  <si>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</si>
  <si>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</si>
  <si>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</si>
  <si>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</si>
  <si>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</si>
  <si>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</si>
  <si>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</si>
  <si>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</si>
  <si>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</si>
  <si>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</si>
  <si>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</si>
  <si>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</si>
  <si>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</si>
  <si>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</si>
  <si>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</si>
  <si>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</si>
  <si>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</si>
  <si>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</si>
  <si>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</si>
  <si>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</si>
  <si>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</si>
  <si>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</si>
  <si>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</si>
  <si>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</si>
  <si>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</si>
  <si>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</si>
  <si>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</si>
  <si>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</si>
  <si>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</si>
  <si>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</si>
  <si>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</si>
  <si>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</si>
  <si>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</si>
  <si>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</si>
  <si>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</si>
  <si>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</si>
  <si>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</si>
  <si>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</si>
  <si>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</si>
  <si>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</si>
  <si>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</si>
  <si>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</si>
  <si>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</si>
  <si>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</si>
  <si>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</si>
  <si>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</si>
  <si>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</si>
  <si>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</si>
  <si>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</si>
  <si>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</si>
  <si>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</si>
  <si>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</si>
  <si>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</si>
  <si>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</si>
  <si>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</si>
  <si>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</si>
  <si>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</si>
  <si>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</si>
  <si>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</si>
  <si>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</si>
  <si>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</si>
  <si>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</si>
  <si>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</si>
  <si>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</si>
  <si>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</si>
  <si>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</si>
  <si>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</si>
  <si>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</si>
  <si>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</si>
  <si>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</si>
  <si>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</si>
  <si>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</si>
  <si>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</si>
  <si>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</si>
  <si>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</si>
  <si>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</si>
  <si>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</si>
  <si>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</si>
  <si>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</si>
  <si>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</si>
  <si>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</si>
  <si>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</si>
  <si>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</si>
  <si>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</si>
  <si>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</si>
  <si>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</si>
  <si>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</si>
  <si>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</si>
  <si>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</si>
  <si>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</si>
  <si>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</si>
  <si>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</si>
  <si>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</si>
  <si>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</si>
  <si>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</si>
  <si>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</si>
  <si>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</si>
  <si>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</si>
  <si>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</si>
  <si>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</si>
  <si>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</si>
  <si>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</si>
  <si>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</si>
  <si>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</si>
  <si>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</si>
  <si>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</si>
  <si>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</si>
  <si>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</si>
  <si>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</si>
  <si>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</si>
  <si>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</si>
  <si>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</si>
  <si>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</si>
  <si>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</si>
  <si>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</si>
  <si>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</si>
  <si>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</si>
  <si>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</si>
  <si>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</si>
  <si>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</si>
  <si>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</si>
  <si>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</si>
  <si>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</si>
  <si>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</si>
  <si>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</si>
  <si>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</si>
  <si>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</si>
  <si>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</si>
  <si>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</si>
  <si>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</si>
  <si>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</si>
  <si>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</si>
  <si>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</si>
  <si>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</si>
  <si>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</si>
  <si>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</si>
  <si>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</si>
  <si>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</si>
  <si>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</si>
  <si>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</si>
  <si>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</si>
  <si>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</si>
  <si>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</si>
  <si>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</si>
  <si>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</si>
  <si>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</si>
  <si>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</si>
  <si>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</si>
  <si>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</si>
  <si>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</si>
  <si>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</si>
  <si>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</si>
  <si>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</si>
  <si>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</si>
  <si>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</si>
  <si>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</si>
  <si>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</si>
  <si>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</si>
  <si>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</si>
  <si>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</si>
  <si>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</si>
  <si>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</si>
  <si>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</si>
  <si>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</si>
  <si>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</si>
  <si>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</si>
  <si>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</si>
  <si>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</si>
  <si>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</si>
  <si>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</si>
  <si>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</si>
  <si>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</si>
  <si>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</si>
  <si>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</si>
  <si>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</si>
  <si>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</si>
  <si>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</si>
  <si>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</si>
  <si>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</si>
  <si>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</si>
  <si>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</si>
  <si>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</si>
  <si>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</si>
  <si>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</si>
  <si>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</si>
  <si>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</si>
  <si>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</si>
  <si>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</si>
  <si>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</si>
  <si>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</si>
  <si>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</si>
  <si>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</si>
  <si>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</si>
  <si>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</si>
  <si>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</si>
  <si>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</si>
  <si>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</si>
  <si>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</si>
  <si>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</si>
  <si>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</si>
  <si>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</si>
  <si>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</si>
  <si>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</si>
  <si>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</si>
  <si>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</si>
  <si>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</si>
  <si>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</si>
  <si>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</si>
  <si>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</si>
  <si>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</si>
  <si>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</si>
  <si>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</si>
  <si>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</si>
  <si>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</si>
  <si>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</si>
  <si>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</si>
  <si>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</si>
  <si>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</si>
  <si>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</si>
  <si>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</si>
  <si>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</si>
  <si>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</si>
  <si>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</si>
  <si>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</si>
  <si>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</si>
  <si>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</si>
  <si>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</si>
  <si>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</si>
  <si>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</si>
  <si>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</si>
  <si>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</si>
  <si>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</si>
  <si>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</si>
  <si>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</si>
  <si>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</si>
  <si>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</si>
  <si>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</si>
  <si>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</si>
  <si>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</si>
  <si>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</si>
  <si>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</si>
  <si>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</si>
  <si>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</si>
  <si>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</si>
  <si>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</si>
  <si>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</si>
  <si>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</si>
  <si>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</si>
  <si>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</si>
  <si>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</si>
  <si>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</si>
  <si>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</si>
  <si>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</si>
  <si>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</si>
  <si>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</si>
  <si>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</si>
  <si>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</si>
  <si>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</si>
  <si>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</si>
  <si>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</si>
  <si>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</si>
  <si>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</si>
  <si>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</si>
  <si>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</si>
  <si>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</si>
  <si>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</si>
  <si>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</si>
  <si>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</si>
  <si>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</si>
  <si>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</si>
  <si>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</si>
  <si>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</si>
  <si>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</si>
  <si>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</si>
  <si>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</si>
  <si>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</si>
  <si>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</si>
  <si>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</si>
  <si>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</si>
  <si>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</si>
  <si>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</si>
  <si>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</si>
  <si>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</si>
  <si>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</si>
  <si>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</si>
  <si>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</si>
  <si>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</si>
  <si>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</si>
  <si>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</si>
  <si>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</si>
  <si>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</si>
  <si>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</si>
  <si>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</si>
  <si>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</si>
  <si>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</si>
  <si>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</si>
  <si>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</si>
  <si>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</si>
  <si>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</si>
  <si>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</si>
  <si>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</si>
  <si>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</si>
  <si>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</si>
  <si>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</si>
  <si>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</si>
  <si>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</si>
  <si>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</si>
  <si>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</si>
  <si>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</si>
  <si>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</si>
  <si>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</si>
  <si>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</si>
  <si>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</si>
  <si>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</si>
  <si>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</si>
  <si>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</si>
  <si>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</si>
  <si>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</si>
  <si>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</si>
  <si>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</si>
  <si>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</si>
  <si>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</si>
  <si>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</si>
  <si>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</si>
  <si>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</si>
  <si>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</si>
  <si>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</si>
  <si>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</si>
  <si>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</si>
  <si>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</si>
  <si>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</si>
  <si>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</si>
  <si>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</si>
  <si>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</si>
  <si>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</si>
  <si>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</si>
  <si>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</si>
  <si>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</si>
  <si>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</si>
  <si>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</si>
  <si>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</si>
  <si>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</si>
  <si>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</si>
  <si>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</si>
  <si>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</si>
  <si>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</si>
  <si>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</si>
  <si>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</si>
  <si>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</si>
  <si>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</si>
  <si>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</si>
  <si>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</si>
  <si>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</si>
  <si>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</si>
  <si>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</si>
  <si>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</si>
  <si>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</si>
  <si>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</si>
  <si>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</si>
  <si>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</si>
  <si>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</si>
  <si>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</si>
  <si>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</si>
  <si>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</si>
  <si>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</si>
  <si>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</si>
  <si>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</si>
  <si>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</si>
  <si>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</si>
  <si>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</si>
  <si>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</si>
  <si>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</si>
  <si>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</si>
  <si>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</si>
  <si>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</si>
  <si>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</si>
  <si>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</si>
  <si>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</si>
  <si>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</si>
  <si>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</si>
  <si>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</si>
  <si>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</si>
  <si>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</si>
  <si>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</si>
  <si>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</si>
  <si>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</si>
  <si>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</si>
  <si>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</si>
  <si>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</si>
  <si>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</si>
  <si>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</si>
  <si>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</si>
  <si>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</si>
  <si>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</si>
  <si>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</si>
  <si>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</si>
  <si>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</si>
  <si>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</si>
  <si>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</si>
  <si>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</si>
  <si>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</si>
  <si>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</si>
  <si>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</si>
  <si>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</si>
  <si>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</si>
  <si>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</si>
  <si>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</si>
  <si>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</si>
  <si>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</si>
  <si>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</si>
  <si>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</si>
  <si>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</si>
  <si>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</si>
  <si>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</si>
  <si>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</si>
  <si>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</si>
  <si>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</si>
  <si>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</si>
  <si>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</si>
  <si>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</si>
  <si>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</si>
  <si>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</si>
  <si>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</si>
  <si>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</si>
  <si>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</si>
  <si>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</si>
  <si>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</si>
  <si>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</si>
  <si>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</si>
  <si>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</si>
  <si>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</si>
  <si>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</si>
  <si>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</si>
  <si>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</si>
  <si>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</si>
  <si>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</si>
  <si>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</si>
  <si>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</si>
  <si>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</si>
  <si>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</si>
  <si>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</si>
  <si>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</si>
  <si>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</si>
  <si>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</si>
  <si>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</si>
  <si>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</si>
  <si>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</si>
  <si>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</si>
  <si>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</si>
  <si>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</si>
  <si>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</si>
  <si>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</si>
  <si>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</si>
  <si>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</si>
  <si>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</si>
  <si>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</si>
  <si>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</si>
  <si>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</si>
  <si>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</si>
  <si>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</si>
  <si>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</si>
  <si>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</si>
  <si>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</si>
  <si>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</si>
  <si>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</si>
  <si>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</si>
  <si>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</si>
  <si>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</si>
  <si>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</si>
  <si>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</si>
  <si>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</si>
  <si>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</si>
  <si>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</si>
  <si>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</si>
  <si>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</si>
  <si>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</si>
  <si>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</si>
  <si>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</si>
  <si>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</si>
  <si>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</si>
  <si>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</si>
  <si>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</si>
  <si>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</si>
  <si>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</si>
  <si>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</si>
  <si>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</si>
  <si>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</si>
  <si>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</si>
  <si>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</si>
  <si>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</si>
  <si>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</si>
  <si>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</si>
  <si>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</si>
  <si>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</si>
  <si>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</si>
  <si>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</si>
  <si>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</si>
  <si>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</si>
  <si>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</si>
  <si>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</si>
  <si>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</si>
  <si>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</si>
  <si>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</si>
  <si>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</si>
  <si>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</si>
  <si>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</si>
  <si>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</si>
  <si>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</si>
  <si>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</si>
  <si>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</si>
  <si>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</si>
  <si>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</si>
  <si>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</si>
  <si>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</si>
  <si>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</si>
  <si>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</si>
  <si>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</si>
  <si>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</si>
  <si>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</si>
  <si>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</si>
  <si>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</si>
  <si>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</si>
  <si>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</si>
  <si>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</si>
  <si>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</si>
  <si>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</si>
  <si>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</si>
  <si>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</si>
  <si>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</si>
  <si>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</si>
  <si>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</si>
  <si>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</si>
  <si>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</si>
  <si>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</si>
  <si>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</si>
  <si>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</si>
  <si>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</si>
  <si>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</si>
  <si>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</si>
  <si>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</si>
  <si>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</si>
  <si>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</si>
  <si>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</si>
  <si>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</si>
  <si>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</si>
  <si>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</si>
  <si>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</si>
  <si>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</si>
  <si>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</si>
  <si>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</si>
  <si>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</si>
  <si>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</si>
  <si>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</si>
  <si>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</si>
  <si>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</si>
  <si>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</si>
  <si>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</si>
  <si>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</si>
  <si>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</si>
  <si>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</si>
  <si>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</si>
  <si>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</si>
  <si>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</si>
  <si>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</si>
  <si>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</si>
  <si>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</si>
  <si>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</si>
  <si>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</si>
  <si>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</si>
  <si>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</si>
  <si>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</si>
  <si>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</si>
  <si>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</si>
  <si>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</si>
  <si>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</si>
  <si>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</si>
  <si>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</si>
  <si>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</si>
  <si>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</si>
  <si>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</si>
  <si>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</si>
  <si>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</si>
  <si>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</si>
  <si>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</si>
  <si>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</si>
  <si>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</si>
  <si>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</si>
  <si>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</si>
  <si>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</si>
  <si>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</si>
  <si>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</si>
  <si>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</si>
  <si>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</si>
  <si>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</si>
  <si>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</si>
  <si>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</si>
  <si>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</si>
  <si>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</si>
  <si>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</si>
  <si>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</si>
  <si>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</si>
  <si>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</si>
  <si>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</si>
  <si>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</si>
  <si>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</si>
  <si>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</si>
  <si>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</si>
  <si>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</si>
  <si>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</si>
  <si>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</si>
  <si>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</si>
  <si>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</si>
  <si>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</si>
  <si>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</si>
  <si>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</si>
  <si>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</si>
  <si>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</si>
  <si>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</si>
  <si>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</si>
  <si>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</si>
  <si>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</si>
  <si>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</si>
  <si>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</si>
  <si>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</si>
  <si>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</si>
  <si>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</si>
  <si>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</si>
  <si>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</si>
  <si>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</si>
  <si>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</si>
  <si>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</si>
  <si>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</si>
  <si>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</si>
  <si>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</si>
  <si>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</si>
  <si>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</si>
  <si>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</si>
  <si>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</si>
  <si>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</si>
  <si>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</si>
  <si>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</si>
  <si>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</si>
  <si>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</si>
  <si>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</si>
  <si>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</si>
  <si>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</si>
  <si>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</si>
  <si>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</si>
  <si>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</si>
  <si>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</si>
  <si>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</si>
  <si>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</si>
  <si>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</si>
  <si>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</si>
  <si>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</si>
  <si>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</si>
  <si>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</si>
  <si>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</si>
  <si>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</si>
  <si>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</si>
  <si>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</si>
  <si>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</si>
  <si>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</si>
  <si>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</si>
  <si>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</si>
  <si>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</si>
  <si>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</si>
  <si>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</si>
  <si>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</si>
  <si>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</si>
  <si>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</si>
  <si>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</si>
  <si>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</si>
  <si>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</si>
  <si>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</si>
  <si>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</si>
  <si>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</si>
  <si>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</si>
  <si>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</si>
  <si>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</si>
  <si>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</si>
  <si>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</si>
  <si>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</si>
  <si>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</si>
  <si>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</si>
  <si>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</si>
  <si>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</si>
  <si>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</si>
  <si>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</si>
  <si>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</si>
  <si>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</si>
  <si>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</si>
  <si>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</si>
  <si>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</si>
  <si>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</si>
  <si>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</si>
  <si>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</si>
  <si>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</si>
  <si>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</si>
  <si>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</si>
  <si>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</si>
  <si>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</si>
  <si>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</si>
  <si>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</si>
  <si>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</si>
  <si>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</si>
  <si>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</si>
  <si>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</si>
  <si>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</si>
  <si>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</si>
  <si>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</si>
  <si>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</si>
  <si>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</si>
  <si>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</si>
  <si>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</si>
  <si>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</si>
  <si>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</si>
  <si>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</si>
  <si>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</si>
  <si>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</si>
  <si>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</si>
  <si>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</si>
  <si>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</si>
  <si>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</si>
  <si>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</si>
  <si>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</si>
  <si>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</si>
  <si>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</si>
  <si>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</si>
  <si>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</si>
  <si>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</si>
  <si>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</si>
  <si>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</si>
  <si>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</si>
  <si>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</si>
  <si>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</si>
  <si>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</si>
  <si>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</si>
  <si>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</si>
  <si>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</si>
  <si>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</si>
  <si>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</si>
  <si>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</si>
  <si>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</si>
  <si>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</si>
  <si>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</si>
  <si>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</si>
  <si>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</si>
  <si>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</si>
  <si>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</si>
  <si>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</si>
  <si>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</si>
  <si>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</si>
  <si>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</si>
  <si>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</si>
  <si>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</si>
  <si>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</si>
  <si>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</si>
  <si>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</si>
  <si>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</si>
  <si>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</si>
  <si>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</si>
  <si>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</si>
  <si>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</si>
  <si>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</si>
  <si>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</si>
  <si>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</si>
  <si>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</si>
  <si>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</si>
  <si>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</si>
  <si>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</si>
  <si>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</si>
  <si>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</si>
  <si>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</si>
  <si>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</si>
  <si>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</si>
  <si>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</si>
  <si>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</si>
  <si>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</si>
  <si>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</si>
  <si>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</si>
  <si>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</si>
  <si>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</si>
  <si>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</si>
  <si>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</si>
  <si>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</si>
  <si>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</si>
  <si>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</si>
  <si>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</si>
  <si>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</si>
  <si>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</si>
  <si>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</si>
  <si>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</si>
  <si>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</si>
  <si>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</si>
  <si>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</si>
  <si>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</si>
  <si>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</si>
  <si>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</si>
  <si>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</si>
  <si>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</si>
  <si>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</si>
  <si>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</si>
  <si>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</si>
  <si>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</si>
  <si>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</si>
  <si>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</si>
  <si>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</si>
  <si>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</si>
  <si>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</si>
  <si>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</si>
  <si>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</si>
  <si>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</si>
  <si>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</si>
  <si>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</si>
  <si>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</si>
  <si>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</si>
  <si>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</si>
  <si>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</si>
  <si>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</si>
  <si>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</si>
  <si>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</si>
  <si>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</si>
  <si>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</si>
  <si>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</si>
  <si>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</si>
  <si>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</si>
  <si>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</si>
  <si>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</si>
  <si>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</si>
  <si>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</si>
  <si>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</si>
  <si>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</si>
  <si>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</si>
  <si>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</si>
  <si>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</si>
  <si>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</si>
  <si>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</si>
  <si>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</si>
  <si>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</si>
  <si>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</si>
  <si>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</si>
  <si>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</si>
  <si>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</si>
  <si>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</si>
  <si>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</si>
  <si>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</si>
  <si>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</si>
  <si>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</si>
  <si>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</si>
  <si>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</si>
  <si>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</si>
  <si>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</si>
  <si>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</si>
  <si>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</si>
  <si>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</si>
  <si>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</si>
  <si>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</si>
  <si>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</si>
  <si>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</si>
  <si>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</si>
  <si>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</si>
  <si>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</si>
  <si>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</si>
  <si>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</si>
  <si>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</si>
  <si>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</si>
  <si>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</si>
  <si>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</si>
  <si>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</si>
  <si>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</si>
  <si>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</si>
  <si>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</si>
  <si>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</si>
  <si>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</si>
  <si>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</si>
  <si>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</si>
  <si>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</si>
  <si>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</si>
  <si>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</si>
  <si>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</si>
  <si>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</si>
  <si>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</si>
  <si>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</si>
  <si>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</si>
  <si>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</si>
  <si>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</si>
  <si>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</si>
  <si>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</si>
  <si>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</si>
  <si>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</si>
  <si>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</si>
  <si>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</si>
  <si>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</si>
  <si>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</si>
  <si>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</si>
  <si>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</si>
  <si>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</si>
  <si>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</si>
  <si>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</si>
  <si>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</si>
  <si>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</si>
  <si>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</si>
  <si>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</si>
  <si>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</si>
  <si>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</si>
  <si>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</si>
  <si>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</si>
  <si>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</si>
  <si>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</si>
  <si>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</si>
  <si>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</si>
  <si>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</si>
  <si>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</si>
  <si>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</si>
  <si>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</si>
  <si>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</si>
  <si>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</si>
  <si>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</si>
  <si>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</si>
  <si>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</si>
  <si>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</si>
  <si>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</si>
  <si>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</si>
  <si>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</si>
  <si>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</si>
  <si>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</si>
  <si>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</si>
  <si>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</si>
  <si>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</si>
  <si>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</si>
  <si>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</si>
  <si>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</si>
  <si>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</si>
  <si>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</si>
  <si>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</si>
  <si>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</si>
  <si>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</si>
  <si>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</si>
  <si>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</si>
  <si>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</si>
  <si>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</si>
  <si>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</si>
  <si>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</si>
  <si>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</si>
  <si>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</si>
  <si>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</si>
  <si>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</si>
  <si>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</si>
  <si>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</si>
  <si>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</si>
  <si>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</si>
  <si>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</si>
  <si>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</si>
  <si>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</si>
  <si>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</si>
  <si>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</si>
  <si>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</si>
  <si>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</si>
  <si>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</si>
  <si>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</si>
  <si>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</si>
  <si>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</si>
  <si>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</si>
  <si>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</si>
  <si>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</si>
  <si>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</si>
  <si>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</si>
  <si>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</si>
  <si>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</si>
  <si>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</si>
  <si>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</si>
  <si>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</si>
  <si>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</si>
  <si>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</si>
  <si>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</si>
  <si>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</si>
  <si>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</si>
  <si>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</si>
  <si>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</si>
  <si>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</si>
  <si>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</si>
  <si>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</si>
  <si>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</si>
  <si>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</si>
  <si>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</si>
  <si>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</si>
  <si>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</si>
  <si>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</si>
  <si>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</si>
  <si>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</si>
  <si>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</si>
  <si>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</si>
  <si>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</si>
  <si>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</si>
  <si>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</si>
  <si>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</si>
  <si>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</si>
  <si>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</si>
  <si>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</si>
  <si>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</si>
  <si>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</si>
  <si>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</si>
  <si>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</si>
  <si>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</si>
  <si>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</si>
  <si>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</si>
  <si>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</si>
  <si>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</si>
  <si>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</si>
  <si>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</si>
  <si>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</si>
  <si>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</si>
  <si>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</si>
  <si>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</si>
  <si>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</si>
  <si>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</si>
  <si>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</si>
  <si>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</si>
  <si>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</si>
  <si>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</si>
  <si>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</si>
  <si>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</si>
  <si>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</si>
  <si>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</si>
  <si>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</si>
  <si>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</si>
  <si>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</si>
  <si>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</si>
  <si>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</si>
  <si>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</si>
  <si>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</si>
  <si>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</si>
  <si>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</si>
  <si>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</si>
  <si>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</si>
  <si>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</si>
  <si>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</si>
  <si>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</si>
  <si>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</si>
  <si>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</si>
  <si>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</si>
  <si>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</si>
  <si>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</si>
  <si>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</si>
  <si>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</si>
  <si>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</si>
  <si>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</si>
  <si>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</si>
  <si>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</si>
  <si>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</si>
  <si>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</si>
  <si>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</si>
  <si>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</si>
  <si>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</si>
  <si>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</si>
  <si>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</si>
  <si>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</si>
  <si>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</si>
  <si>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</si>
  <si>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</si>
  <si>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</si>
  <si>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</si>
  <si>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</si>
  <si>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</si>
  <si>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</si>
  <si>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</si>
  <si>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</si>
  <si>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</si>
  <si>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</si>
  <si>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</si>
  <si>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</si>
  <si>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</si>
  <si>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</si>
  <si>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</si>
  <si>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</si>
  <si>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</si>
  <si>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</si>
  <si>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</si>
  <si>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</si>
  <si>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</si>
  <si>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</si>
  <si>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</si>
  <si>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</si>
  <si>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</si>
  <si>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</si>
  <si>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</si>
  <si>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</si>
  <si>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</si>
  <si>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</si>
  <si>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</si>
  <si>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</si>
  <si>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</si>
  <si>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</si>
  <si>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</si>
  <si>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</si>
  <si>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</si>
  <si>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</si>
  <si>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</si>
  <si>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</si>
  <si>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</si>
  <si>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</si>
  <si>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</si>
  <si>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</si>
  <si>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</si>
  <si>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</si>
  <si>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</si>
  <si>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</si>
  <si>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</si>
  <si>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</si>
  <si>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</si>
  <si>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</si>
  <si>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</si>
  <si>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</si>
  <si>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</si>
  <si>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</si>
  <si>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</si>
  <si>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</si>
  <si>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</si>
  <si>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</si>
  <si>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</si>
  <si>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</si>
  <si>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</si>
  <si>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</si>
  <si>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</si>
  <si>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</si>
  <si>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</si>
  <si>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</si>
  <si>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</si>
  <si>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</si>
  <si>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</si>
  <si>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</si>
  <si>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</si>
  <si>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</si>
  <si>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</si>
  <si>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</si>
  <si>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</si>
  <si>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</si>
  <si>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</si>
  <si>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</si>
  <si>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</si>
  <si>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</si>
  <si>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</si>
  <si>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</si>
  <si>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</si>
  <si>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</si>
  <si>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</si>
  <si>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</si>
  <si>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</si>
  <si>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</si>
  <si>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</si>
  <si>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</si>
  <si>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</si>
  <si>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</si>
  <si>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</si>
  <si>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</si>
  <si>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</si>
  <si>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</si>
  <si>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</si>
  <si>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</si>
  <si>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</si>
  <si>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</si>
  <si>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</si>
  <si>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</si>
  <si>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</si>
  <si>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</si>
  <si>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</si>
  <si>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</si>
  <si>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</si>
  <si>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</si>
  <si>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</si>
  <si>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</si>
  <si>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</si>
  <si>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</si>
  <si>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</si>
  <si>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</si>
  <si>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</si>
  <si>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</si>
  <si>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</si>
  <si>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</si>
  <si>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</si>
  <si>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</si>
  <si>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</si>
  <si>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</si>
  <si>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</si>
  <si>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</si>
  <si>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</si>
  <si>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</si>
  <si>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</si>
  <si>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</si>
  <si>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</si>
  <si>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</si>
  <si>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</si>
  <si>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</si>
  <si>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</si>
  <si>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</si>
  <si>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</si>
  <si>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</si>
  <si>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</si>
  <si>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</si>
  <si>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</si>
  <si>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</si>
  <si>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</si>
  <si>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</si>
  <si>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</si>
  <si>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</si>
  <si>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</si>
  <si>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</si>
  <si>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</si>
  <si>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</si>
  <si>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</si>
  <si>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</si>
  <si>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</si>
  <si>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</si>
  <si>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</si>
  <si>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</si>
  <si>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</si>
  <si>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</si>
  <si>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</si>
  <si>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</si>
  <si>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</si>
  <si>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</si>
  <si>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</si>
  <si>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</si>
  <si>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</si>
  <si>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</si>
  <si>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</si>
  <si>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</si>
  <si>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</si>
  <si>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</si>
  <si>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</si>
  <si>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</si>
  <si>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</si>
  <si>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</si>
  <si>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</si>
  <si>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</si>
  <si>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</si>
  <si>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</si>
  <si>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</si>
  <si>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</si>
  <si>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</si>
  <si>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</si>
  <si>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</si>
  <si>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</si>
  <si>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</si>
  <si>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</si>
  <si>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</si>
  <si>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</si>
  <si>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</si>
  <si>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</si>
  <si>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</si>
  <si>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</si>
  <si>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</si>
  <si>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</si>
  <si>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</si>
  <si>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</si>
  <si>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</si>
  <si>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</si>
  <si>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</si>
  <si>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</si>
  <si>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</si>
  <si>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</si>
  <si>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</si>
  <si>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</si>
  <si>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</si>
  <si>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</si>
  <si>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</si>
  <si>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</si>
  <si>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</si>
  <si>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</si>
  <si>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</si>
  <si>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</si>
  <si>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</si>
  <si>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</si>
  <si>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</si>
  <si>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</si>
  <si>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</si>
  <si>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</si>
  <si>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</si>
  <si>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</si>
  <si>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</si>
  <si>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</si>
  <si>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</si>
  <si>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</si>
  <si>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</si>
  <si>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</si>
  <si>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</si>
  <si>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</si>
  <si>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</si>
  <si>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</si>
  <si>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</si>
  <si>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</si>
  <si>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</si>
  <si>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</si>
  <si>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</si>
  <si>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</si>
  <si>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</si>
  <si>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</si>
  <si>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</si>
  <si>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</si>
  <si>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</si>
  <si>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</si>
  <si>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</si>
  <si>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</si>
  <si>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</si>
  <si>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</si>
  <si>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</si>
  <si>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</si>
  <si>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</si>
  <si>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</si>
  <si>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</si>
  <si>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</si>
  <si>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</si>
  <si>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</si>
  <si>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</si>
  <si>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</si>
  <si>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</si>
  <si>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</si>
  <si>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</si>
  <si>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</si>
  <si>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</si>
  <si>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</si>
  <si>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</si>
  <si>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</si>
  <si>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</si>
  <si>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</si>
  <si>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</si>
  <si>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</si>
  <si>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</si>
  <si>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</si>
  <si>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</si>
  <si>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</si>
  <si>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</si>
  <si>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</si>
  <si>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</si>
  <si>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</si>
  <si>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</si>
  <si>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</si>
  <si>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</si>
  <si>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</si>
  <si>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</si>
  <si>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</si>
  <si>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</si>
  <si>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</si>
  <si>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</si>
  <si>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</si>
  <si>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</si>
  <si>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</si>
  <si>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</si>
  <si>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</si>
  <si>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</si>
  <si>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</si>
  <si>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</si>
  <si>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</si>
  <si>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</si>
  <si>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</si>
  <si>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</si>
  <si>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</si>
  <si>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</si>
  <si>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</si>
  <si>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</si>
  <si>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</si>
  <si>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</si>
  <si>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</si>
  <si>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</si>
  <si>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</si>
  <si>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</si>
  <si>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</si>
  <si>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</si>
  <si>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</si>
  <si>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</si>
  <si>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</si>
  <si>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</si>
  <si>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</si>
  <si>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</si>
  <si>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</si>
  <si>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</si>
  <si>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</si>
  <si>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</si>
  <si>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</si>
  <si>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</si>
  <si>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</si>
  <si>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</si>
  <si>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</si>
  <si>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</si>
  <si>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</si>
  <si>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</si>
  <si>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</si>
  <si>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</si>
  <si>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</si>
  <si>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</si>
  <si>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</si>
  <si>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</si>
  <si>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</si>
  <si>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</si>
  <si>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</si>
  <si>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</si>
  <si>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</si>
  <si>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</si>
  <si>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</si>
  <si>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</si>
  <si>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</si>
  <si>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</si>
  <si>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</si>
  <si>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</si>
  <si>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</si>
  <si>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</si>
  <si>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</si>
  <si>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</si>
  <si>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</si>
  <si>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</si>
  <si>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</si>
  <si>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</si>
  <si>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</si>
  <si>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</si>
  <si>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</si>
  <si>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</si>
  <si>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</si>
  <si>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</si>
  <si>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</si>
  <si>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</si>
  <si>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</si>
  <si>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</si>
  <si>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</si>
  <si>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</si>
  <si>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</si>
  <si>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</si>
  <si>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</si>
  <si>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</si>
  <si>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</si>
  <si>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</si>
  <si>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</si>
  <si>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</si>
  <si>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</si>
  <si>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</si>
  <si>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</si>
  <si>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</si>
  <si>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</si>
  <si>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</si>
  <si>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</si>
  <si>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</si>
  <si>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</si>
  <si>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</si>
  <si>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</si>
  <si>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</si>
  <si>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</si>
  <si>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</si>
  <si>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</si>
  <si>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</si>
  <si>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</si>
  <si>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</si>
  <si>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</si>
  <si>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</si>
  <si>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</si>
  <si>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</si>
  <si>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</si>
  <si>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</si>
  <si>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</si>
  <si>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</si>
  <si>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</si>
  <si>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</si>
  <si>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</si>
  <si>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</si>
  <si>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</si>
  <si>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</si>
  <si>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</si>
  <si>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</si>
  <si>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</si>
  <si>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</si>
  <si>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</si>
  <si>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</si>
  <si>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</si>
  <si>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</si>
  <si>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</si>
  <si>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</si>
  <si>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</si>
  <si>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</si>
  <si>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</si>
  <si>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</si>
  <si>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</si>
  <si>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</si>
  <si>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</si>
  <si>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</si>
  <si>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</si>
  <si>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</si>
  <si>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</si>
  <si>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</si>
  <si>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</si>
  <si>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</si>
  <si>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</si>
  <si>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</si>
  <si>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</si>
  <si>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</si>
  <si>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</si>
  <si>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</si>
  <si>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</si>
  <si>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</si>
  <si>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</si>
  <si>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</si>
  <si>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</si>
  <si>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</si>
  <si>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</si>
  <si>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</si>
  <si>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</si>
  <si>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</si>
  <si>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</si>
  <si>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</si>
  <si>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</si>
  <si>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</si>
  <si>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</si>
  <si>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</si>
  <si>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</si>
  <si>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</si>
  <si>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</si>
  <si>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</si>
  <si>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</si>
  <si>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</si>
  <si>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</si>
  <si>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</si>
  <si>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</si>
  <si>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</si>
  <si>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</si>
  <si>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</si>
  <si>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</si>
  <si>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</si>
  <si>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</si>
  <si>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</si>
  <si>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</si>
  <si>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</si>
  <si>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</si>
  <si>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</si>
  <si>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</si>
  <si>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</si>
  <si>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</si>
  <si>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</si>
  <si>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</si>
  <si>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</si>
  <si>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</si>
  <si>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</si>
  <si>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</si>
  <si>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</si>
  <si>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</si>
  <si>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</si>
  <si>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</si>
  <si>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</si>
  <si>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</si>
  <si>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</si>
  <si>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</si>
  <si>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</si>
  <si>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</si>
  <si>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</si>
  <si>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</si>
  <si>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</si>
  <si>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</si>
  <si>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</si>
  <si>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</si>
  <si>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</si>
  <si>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</si>
  <si>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</si>
  <si>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</si>
  <si>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</si>
  <si>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</si>
  <si>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</si>
  <si>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</si>
  <si>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</si>
  <si>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</si>
  <si>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</si>
  <si>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</si>
  <si>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</si>
  <si>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</si>
  <si>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</si>
  <si>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</si>
  <si>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</si>
  <si>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</si>
  <si>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</si>
  <si>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</si>
  <si>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</si>
  <si>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</si>
  <si>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</si>
  <si>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</si>
  <si>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</si>
  <si>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</si>
  <si>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</si>
  <si>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</si>
  <si>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</si>
  <si>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</si>
  <si>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</si>
  <si>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</si>
  <si>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</si>
  <si>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</si>
  <si>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</si>
  <si>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</si>
  <si>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</si>
  <si>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</si>
  <si>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</si>
  <si>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</si>
  <si>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</si>
  <si>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</si>
  <si>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</si>
  <si>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</si>
  <si>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</si>
  <si>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</si>
  <si>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</si>
  <si>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</si>
  <si>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</si>
  <si>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</si>
  <si>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</si>
  <si>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</si>
  <si>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</si>
  <si>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</si>
  <si>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</si>
  <si>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</si>
  <si>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</si>
  <si>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</si>
  <si>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</si>
  <si>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</si>
  <si>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</si>
  <si>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</si>
  <si>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</si>
  <si>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</si>
  <si>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</si>
  <si>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</si>
  <si>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</si>
  <si>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</si>
  <si>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</si>
  <si>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</si>
  <si>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</si>
  <si>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</si>
  <si>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</si>
  <si>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</si>
  <si>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</si>
  <si>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</si>
  <si>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</si>
  <si>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</si>
  <si>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</si>
  <si>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</si>
  <si>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</si>
  <si>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</si>
  <si>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</si>
  <si>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</si>
  <si>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</si>
  <si>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</si>
  <si>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</si>
  <si>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</si>
  <si>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</si>
  <si>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</si>
  <si>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</si>
  <si>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</si>
  <si>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</si>
  <si>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</si>
  <si>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</si>
  <si>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</si>
  <si>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</si>
  <si>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</si>
  <si>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</si>
  <si>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</si>
  <si>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</si>
  <si>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</si>
  <si>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</si>
  <si>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</si>
  <si>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</si>
  <si>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</si>
  <si>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</si>
  <si>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</si>
  <si>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</si>
  <si>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</si>
  <si>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</si>
  <si>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</si>
  <si>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</si>
  <si>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</si>
  <si>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</si>
  <si>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</si>
  <si>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</si>
  <si>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</si>
  <si>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</si>
  <si>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</si>
  <si>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</si>
  <si>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</si>
  <si>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</si>
  <si>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</si>
  <si>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</si>
  <si>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</si>
  <si>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</si>
  <si>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</si>
  <si>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</si>
  <si>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</si>
  <si>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</si>
  <si>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</si>
  <si>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</si>
  <si>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</si>
  <si>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</si>
  <si>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</si>
  <si>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</si>
  <si>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</si>
  <si>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</si>
  <si>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</si>
  <si>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</si>
  <si>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</si>
  <si>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</si>
  <si>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</si>
  <si>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</si>
  <si>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</si>
  <si>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</si>
  <si>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</si>
  <si>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</si>
  <si>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</si>
  <si>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</si>
  <si>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</si>
  <si>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</si>
  <si>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</si>
  <si>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</si>
  <si>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</si>
  <si>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</si>
  <si>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</si>
  <si>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</si>
  <si>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</si>
  <si>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</si>
  <si>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</si>
  <si>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</si>
  <si>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</si>
  <si>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</si>
  <si>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</si>
  <si>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</si>
  <si>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</si>
  <si>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</si>
  <si>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</si>
  <si>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</si>
  <si>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</si>
  <si>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</si>
  <si>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</si>
  <si>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</si>
  <si>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</si>
  <si>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</si>
  <si>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</si>
  <si>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</si>
  <si>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</si>
  <si>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</si>
  <si>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</si>
  <si>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</si>
  <si>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</si>
  <si>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</si>
  <si>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</si>
  <si>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</si>
  <si>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</si>
  <si>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</si>
  <si>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</si>
  <si>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</si>
  <si>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</si>
  <si>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</si>
  <si>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</si>
  <si>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</si>
  <si>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</si>
  <si>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</si>
  <si>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</si>
  <si>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</si>
  <si>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</si>
  <si>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</si>
  <si>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</si>
  <si>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</si>
  <si>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</si>
  <si>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</si>
  <si>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</si>
  <si>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</si>
  <si>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</si>
  <si>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</si>
  <si>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</si>
  <si>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</si>
  <si>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</si>
  <si>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</si>
  <si>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</si>
  <si>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</si>
  <si>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</si>
  <si>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</si>
  <si>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</si>
  <si>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</si>
  <si>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</si>
  <si>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</si>
  <si>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</si>
  <si>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</si>
  <si>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</si>
  <si>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</si>
  <si>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</si>
  <si>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</si>
  <si>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</si>
  <si>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</si>
  <si>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</si>
  <si>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</si>
  <si>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</si>
  <si>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</si>
  <si>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</si>
  <si>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</si>
  <si>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</si>
  <si>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</si>
  <si>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</si>
  <si>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</si>
  <si>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</si>
  <si>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</si>
  <si>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</si>
  <si>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</si>
  <si>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</si>
  <si>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</si>
  <si>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</si>
  <si>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</si>
  <si>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</si>
  <si>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</si>
  <si>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</si>
  <si>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</si>
  <si>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</si>
  <si>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</si>
  <si>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</si>
  <si>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</si>
  <si>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</si>
  <si>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</si>
  <si>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</si>
  <si>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</si>
  <si>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</si>
  <si>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</si>
  <si>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</si>
  <si>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</si>
  <si>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</si>
  <si>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</si>
  <si>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</si>
  <si>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</si>
  <si>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</si>
  <si>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</si>
  <si>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</si>
  <si>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</si>
  <si>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</si>
  <si>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</si>
  <si>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</si>
  <si>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</si>
  <si>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</si>
  <si>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</si>
  <si>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</si>
  <si>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</si>
  <si>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</si>
  <si>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</si>
  <si>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</si>
  <si>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</si>
  <si>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</si>
  <si>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</si>
  <si>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</si>
  <si>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</si>
  <si>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</si>
  <si>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</si>
  <si>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</si>
  <si>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</si>
  <si>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</si>
  <si>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</si>
  <si>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</si>
  <si>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</si>
  <si>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</si>
  <si>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</si>
  <si>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</si>
  <si>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</si>
  <si>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</si>
  <si>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</si>
  <si>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</si>
  <si>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</si>
  <si>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</si>
  <si>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</si>
  <si>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</si>
  <si>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</si>
  <si>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</si>
  <si>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</si>
  <si>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</si>
  <si>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</si>
  <si>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</si>
  <si>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</si>
  <si>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</si>
  <si>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</si>
  <si>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</si>
  <si>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</si>
  <si>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</si>
  <si>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</si>
  <si>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</si>
  <si>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</si>
  <si>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</si>
  <si>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</si>
  <si>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</si>
  <si>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</si>
  <si>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</si>
  <si>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</si>
  <si>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</si>
  <si>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</si>
  <si>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</si>
  <si>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</si>
  <si>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</si>
  <si>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</si>
  <si>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</si>
  <si>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</si>
  <si>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</si>
  <si>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</si>
  <si>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</si>
  <si>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</si>
  <si>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</si>
  <si>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</si>
  <si>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</si>
  <si>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</si>
  <si>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</si>
  <si>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</si>
  <si>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</si>
  <si>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</si>
  <si>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</si>
  <si>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</si>
  <si>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</si>
  <si>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</si>
  <si>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</si>
  <si>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</si>
  <si>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</si>
  <si>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</si>
  <si>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</si>
  <si>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</si>
  <si>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</si>
  <si>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</si>
  <si>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</si>
  <si>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</si>
  <si>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</si>
  <si>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</si>
  <si>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</si>
  <si>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</si>
  <si>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</si>
  <si>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</si>
  <si>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</si>
  <si>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</si>
  <si>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</si>
  <si>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</si>
  <si>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</si>
  <si>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</si>
  <si>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</si>
  <si>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</si>
  <si>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</si>
  <si>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</si>
  <si>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</si>
  <si>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</si>
  <si>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</si>
  <si>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</si>
  <si>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</si>
  <si>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</si>
  <si>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</si>
  <si>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</si>
  <si>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</si>
  <si>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</si>
  <si>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</si>
  <si>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</si>
  <si>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</si>
  <si>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</si>
  <si>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</si>
  <si>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</si>
  <si>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</si>
  <si>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</si>
  <si>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</si>
  <si>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</si>
  <si>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</si>
  <si>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</si>
  <si>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</si>
  <si>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</si>
  <si>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</si>
  <si>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</si>
  <si>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</si>
  <si>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</si>
  <si>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</si>
  <si>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</si>
  <si>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</si>
  <si>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</si>
  <si>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</si>
  <si>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</si>
  <si>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</si>
  <si>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</si>
  <si>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</si>
  <si>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</si>
  <si>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</si>
  <si>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</si>
  <si>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</si>
  <si>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</si>
  <si>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</si>
  <si>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</si>
  <si>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</si>
  <si>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</si>
  <si>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</si>
  <si>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</si>
  <si>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</si>
  <si>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</si>
  <si>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</si>
  <si>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</si>
  <si>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</si>
  <si>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</si>
  <si>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</si>
  <si>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</si>
  <si>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</si>
  <si>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</si>
  <si>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</si>
  <si>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</si>
  <si>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</si>
  <si>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</si>
  <si>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</si>
  <si>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</si>
  <si>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</si>
  <si>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</si>
  <si>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</si>
  <si>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</si>
  <si>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</si>
  <si>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</si>
  <si>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</si>
  <si>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</si>
  <si>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</si>
  <si>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</si>
  <si>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</si>
  <si>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</si>
  <si>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</si>
  <si>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</si>
  <si>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</si>
  <si>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</si>
  <si>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</si>
  <si>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</si>
  <si>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</si>
  <si>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</si>
  <si>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</si>
  <si>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</si>
  <si>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</si>
  <si>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</si>
  <si>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</si>
  <si>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</si>
  <si>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</si>
  <si>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</si>
  <si>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</si>
  <si>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</si>
  <si>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</si>
  <si>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</si>
  <si>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</si>
  <si>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</si>
  <si>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</si>
  <si>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</si>
  <si>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</si>
  <si>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</si>
  <si>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</si>
  <si>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</si>
  <si>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</si>
  <si>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</si>
  <si>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</si>
  <si>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</si>
  <si>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</si>
  <si>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</si>
  <si>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</si>
  <si>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</si>
  <si>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</si>
  <si>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</si>
  <si>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</si>
  <si>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</si>
  <si>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</si>
  <si>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</si>
  <si>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</si>
  <si>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</si>
  <si>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</si>
  <si>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</si>
  <si>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</si>
  <si>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</si>
  <si>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</si>
  <si>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</si>
  <si>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</si>
  <si>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</si>
  <si>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</si>
  <si>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</si>
  <si>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</si>
  <si>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</si>
  <si>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</si>
  <si>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</si>
  <si>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</si>
  <si>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</si>
  <si>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</si>
  <si>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</si>
  <si>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</si>
  <si>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</si>
  <si>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</si>
  <si>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</si>
  <si>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</si>
  <si>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</si>
  <si>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</si>
  <si>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</si>
  <si>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</si>
  <si>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</si>
  <si>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</si>
  <si>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</si>
  <si>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</si>
  <si>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</si>
  <si>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</si>
  <si>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</si>
  <si>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</si>
  <si>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</si>
  <si>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</si>
  <si>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</si>
  <si>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</si>
  <si>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</si>
  <si>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</si>
  <si>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</si>
  <si>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</si>
  <si>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</si>
  <si>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</si>
  <si>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</si>
  <si>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</si>
  <si>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</si>
  <si>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</si>
  <si>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</si>
  <si>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</si>
  <si>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</si>
  <si>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</si>
  <si>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</si>
  <si>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</si>
  <si>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</si>
  <si>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</si>
  <si>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</si>
  <si>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</si>
  <si>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</si>
  <si>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</si>
  <si>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</si>
  <si>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</si>
  <si>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</si>
  <si>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</si>
  <si>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</si>
  <si>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</si>
  <si>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</si>
  <si>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</si>
  <si>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</si>
  <si>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</si>
  <si>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</si>
  <si>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</si>
  <si>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</si>
  <si>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</si>
  <si>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</si>
  <si>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</si>
  <si>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</si>
  <si>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</si>
  <si>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</si>
  <si>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</si>
  <si>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</si>
  <si>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</si>
  <si>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</si>
  <si>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</si>
  <si>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</si>
  <si>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</si>
  <si>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</si>
  <si>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</si>
  <si>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</si>
  <si>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</si>
  <si>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</si>
  <si>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</si>
  <si>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</si>
  <si>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</si>
  <si>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</si>
  <si>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</si>
  <si>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</si>
  <si>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</si>
  <si>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</si>
  <si>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</si>
  <si>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</si>
  <si>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</si>
  <si>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</si>
  <si>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</si>
  <si>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</si>
  <si>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</si>
  <si>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</si>
  <si>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</si>
  <si>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</si>
  <si>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</si>
  <si>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</si>
  <si>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</si>
  <si>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</si>
  <si>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</si>
  <si>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</si>
  <si>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</si>
  <si>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</si>
  <si>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</si>
  <si>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</si>
  <si>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</si>
  <si>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</si>
  <si>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</si>
  <si>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</si>
  <si>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</si>
  <si>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</si>
  <si>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</si>
  <si>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</si>
  <si>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</si>
  <si>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</si>
  <si>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</si>
  <si>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</si>
  <si>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</si>
  <si>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</si>
  <si>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</si>
  <si>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</si>
  <si>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</si>
  <si>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</si>
  <si>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</si>
  <si>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</si>
  <si>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</si>
  <si>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</si>
  <si>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</si>
  <si>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</si>
  <si>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</si>
  <si>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</si>
  <si>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</si>
  <si>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</si>
  <si>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</si>
  <si>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</si>
  <si>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</si>
  <si>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</si>
  <si>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</si>
  <si>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</si>
  <si>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</si>
  <si>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</si>
  <si>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</si>
  <si>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</si>
  <si>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</si>
  <si>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</si>
  <si>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</si>
  <si>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</si>
  <si>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</si>
  <si>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</si>
  <si>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</si>
  <si>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</si>
  <si>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</si>
  <si>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</si>
  <si>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</si>
  <si>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</si>
  <si>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</si>
  <si>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</si>
  <si>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</si>
  <si>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</si>
  <si>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</si>
  <si>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</si>
  <si>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</si>
  <si>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</si>
  <si>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</si>
  <si>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</si>
  <si>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</si>
  <si>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</si>
  <si>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</si>
  <si>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</si>
  <si>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</si>
  <si>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</si>
  <si>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</si>
  <si>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</si>
  <si>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</si>
  <si>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</si>
  <si>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</si>
  <si>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</si>
  <si>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</si>
  <si>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</si>
  <si>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</si>
  <si>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</si>
  <si>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</si>
  <si>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</si>
  <si>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</si>
  <si>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</si>
  <si>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</si>
  <si>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</si>
  <si>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</si>
  <si>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</si>
  <si>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</si>
  <si>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</si>
  <si>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</si>
  <si>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</si>
  <si>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</si>
  <si>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</si>
  <si>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</si>
  <si>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</si>
  <si>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</si>
  <si>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</si>
  <si>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</si>
  <si>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</si>
  <si>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</si>
  <si>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</si>
  <si>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</si>
  <si>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</si>
  <si>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</si>
  <si>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</si>
  <si>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</si>
  <si>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</si>
  <si>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</si>
  <si>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</si>
  <si>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</si>
  <si>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</si>
  <si>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</si>
  <si>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</si>
  <si>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</si>
  <si>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</si>
  <si>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</si>
  <si>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</si>
  <si>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</si>
  <si>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</si>
  <si>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</si>
  <si>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</si>
  <si>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</si>
  <si>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</si>
  <si>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</si>
  <si>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</si>
  <si>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</si>
  <si>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</si>
  <si>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</si>
  <si>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</si>
  <si>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</si>
  <si>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</si>
  <si>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</si>
  <si>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</si>
  <si>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</si>
  <si>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</si>
  <si>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</si>
  <si>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</si>
  <si>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</si>
  <si>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</si>
  <si>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</si>
  <si>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</si>
  <si>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</si>
  <si>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</si>
  <si>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</si>
  <si>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</si>
  <si>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</si>
  <si>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</si>
  <si>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</si>
  <si>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</si>
  <si>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</si>
  <si>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</si>
  <si>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</si>
  <si>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</si>
  <si>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</si>
  <si>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</si>
  <si>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</si>
  <si>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</si>
  <si>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</si>
  <si>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</si>
  <si>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</si>
  <si>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</si>
  <si>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</si>
  <si>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</si>
  <si>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</si>
  <si>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</si>
  <si>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</si>
  <si>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</si>
  <si>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</si>
  <si>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</si>
  <si>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</si>
  <si>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</si>
  <si>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</si>
  <si>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</si>
  <si>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</si>
  <si>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</si>
  <si>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</si>
  <si>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</si>
  <si>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</si>
  <si>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</si>
  <si>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</si>
  <si>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</si>
  <si>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</si>
  <si>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</si>
  <si>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</si>
  <si>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</si>
  <si>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</si>
  <si>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</si>
  <si>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</si>
  <si>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</si>
  <si>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</si>
  <si>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</si>
  <si>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</si>
  <si>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</si>
  <si>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</si>
  <si>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</si>
  <si>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</si>
  <si>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</si>
  <si>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</si>
  <si>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</si>
  <si>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</si>
  <si>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</si>
  <si>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</si>
  <si>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</si>
  <si>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</si>
  <si>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</si>
  <si>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</si>
  <si>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</si>
  <si>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</si>
  <si>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</si>
  <si>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</si>
  <si>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</si>
  <si>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</si>
  <si>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</si>
  <si>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</si>
  <si>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</si>
  <si>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</si>
  <si>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</si>
  <si>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</si>
  <si>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</si>
  <si>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</si>
  <si>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</si>
  <si>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</si>
  <si>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</si>
  <si>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</si>
  <si>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</si>
  <si>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</si>
  <si>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</si>
  <si>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</si>
  <si>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</si>
  <si>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</si>
  <si>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</si>
  <si>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</si>
  <si>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</si>
  <si>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</si>
  <si>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</si>
  <si>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</si>
  <si>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</si>
  <si>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</si>
  <si>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</si>
  <si>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</si>
  <si>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</si>
  <si>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</si>
  <si>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</si>
  <si>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</si>
  <si>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</si>
  <si>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</si>
  <si>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</si>
  <si>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</si>
  <si>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</si>
  <si>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</si>
  <si>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</si>
  <si>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</si>
  <si>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</si>
  <si>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</si>
  <si>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</si>
  <si>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</si>
  <si>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</si>
  <si>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</si>
  <si>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</si>
  <si>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</si>
  <si>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</si>
  <si>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</si>
  <si>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</si>
  <si>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</si>
  <si>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</si>
  <si>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</si>
  <si>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</si>
  <si>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</si>
  <si>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</si>
  <si>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</si>
  <si>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</si>
  <si>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</si>
  <si>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</si>
  <si>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</si>
  <si>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</si>
  <si>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</si>
  <si>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</si>
  <si>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</si>
  <si>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</si>
  <si>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</si>
  <si>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</si>
  <si>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</si>
  <si>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</si>
  <si>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</si>
  <si>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</si>
  <si>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</si>
  <si>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</si>
  <si>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</si>
  <si>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</si>
  <si>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</si>
  <si>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</si>
  <si>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</si>
  <si>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</si>
  <si>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</si>
  <si>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</si>
  <si>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</si>
  <si>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</si>
  <si>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</si>
  <si>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</si>
  <si>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</si>
  <si>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</si>
  <si>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</si>
  <si>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</si>
  <si>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</si>
  <si>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</si>
  <si>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</si>
  <si>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</si>
  <si>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</si>
  <si>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</si>
  <si>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</si>
  <si>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</si>
  <si>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</si>
  <si>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</si>
  <si>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</si>
  <si>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</si>
  <si>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</si>
  <si>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</si>
  <si>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</si>
  <si>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</si>
  <si>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</si>
  <si>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</si>
  <si>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</si>
  <si>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</si>
  <si>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</si>
  <si>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</si>
  <si>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</si>
  <si>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</si>
  <si>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</si>
  <si>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</si>
  <si>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</si>
  <si>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</si>
  <si>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</si>
  <si>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</si>
  <si>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</si>
  <si>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</si>
  <si>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</si>
  <si>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</si>
  <si>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</si>
  <si>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</si>
  <si>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</si>
  <si>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</si>
  <si>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</si>
  <si>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</si>
  <si>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</si>
  <si>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</si>
  <si>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</si>
  <si>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</si>
  <si>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</si>
  <si>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</si>
  <si>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</si>
  <si>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</si>
  <si>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</si>
  <si>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</si>
  <si>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</si>
  <si>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</si>
  <si>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</si>
  <si>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</si>
  <si>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</si>
  <si>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</si>
  <si>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</si>
  <si>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</si>
  <si>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</si>
  <si>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</si>
  <si>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</si>
  <si>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</si>
  <si>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</si>
  <si>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</si>
  <si>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</si>
  <si>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</si>
  <si>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</si>
  <si>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</si>
  <si>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</si>
  <si>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</si>
  <si>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</si>
  <si>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</si>
  <si>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</si>
  <si>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</si>
  <si>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</si>
  <si>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</si>
  <si>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</si>
  <si>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</si>
  <si>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</si>
  <si>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</si>
  <si>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</si>
  <si>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</si>
  <si>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</si>
  <si>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</si>
  <si>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</si>
  <si>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</si>
  <si>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</si>
  <si>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</si>
  <si>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</si>
  <si>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</si>
  <si>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</si>
  <si>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</si>
  <si>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</si>
  <si>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</si>
  <si>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</si>
  <si>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</si>
  <si>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</si>
  <si>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</si>
  <si>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</si>
  <si>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</si>
  <si>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</si>
  <si>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</si>
  <si>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</si>
  <si>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</si>
  <si>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</si>
  <si>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</si>
  <si>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</si>
  <si>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</si>
  <si>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</si>
  <si>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</si>
  <si>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</si>
  <si>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</si>
  <si>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</si>
  <si>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</si>
  <si>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</si>
  <si>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</si>
  <si>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</si>
  <si>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</si>
  <si>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</si>
  <si>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</si>
  <si>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</si>
  <si>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</si>
  <si>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</si>
  <si>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</si>
  <si>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</si>
  <si>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</si>
  <si>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</si>
  <si>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</si>
  <si>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</si>
  <si>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</si>
  <si>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</si>
  <si>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</si>
  <si>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</si>
  <si>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</si>
  <si>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</si>
  <si>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</si>
  <si>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</si>
  <si>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</si>
  <si>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</si>
  <si>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</si>
  <si>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</si>
  <si>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</si>
  <si>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</si>
  <si>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</si>
  <si>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</si>
  <si>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</si>
  <si>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</si>
  <si>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</si>
  <si>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</si>
  <si>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</si>
  <si>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</si>
  <si>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</si>
  <si>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</si>
  <si>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</si>
  <si>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</si>
  <si>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</si>
  <si>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</si>
  <si>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</si>
  <si>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</si>
  <si>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</si>
  <si>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</si>
  <si>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</si>
  <si>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</si>
  <si>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</si>
  <si>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</si>
  <si>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</si>
  <si>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</si>
  <si>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</si>
  <si>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</si>
  <si>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</si>
  <si>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</si>
  <si>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</si>
  <si>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</si>
  <si>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</si>
  <si>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</si>
  <si>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</si>
  <si>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</si>
  <si>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</si>
  <si>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</si>
  <si>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</si>
  <si>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</si>
  <si>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</si>
  <si>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</si>
  <si>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</si>
  <si>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</si>
  <si>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</si>
  <si>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</si>
  <si>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</si>
  <si>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</si>
  <si>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</si>
  <si>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</si>
  <si>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</si>
  <si>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</si>
  <si>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</si>
  <si>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</si>
  <si>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</si>
  <si>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</si>
  <si>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</si>
  <si>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</si>
  <si>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</si>
  <si>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</si>
  <si>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</si>
  <si>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</si>
  <si>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</si>
  <si>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</si>
  <si>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</si>
  <si>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</si>
  <si>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</si>
  <si>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</si>
  <si>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</si>
  <si>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</si>
  <si>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</si>
  <si>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</si>
  <si>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</si>
  <si>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</si>
  <si>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</si>
  <si>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</si>
  <si>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</si>
  <si>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</si>
  <si>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</si>
  <si>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</si>
  <si>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</si>
  <si>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</si>
  <si>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</si>
  <si>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</si>
  <si>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</si>
  <si>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</si>
  <si>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</si>
  <si>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</si>
  <si>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</si>
  <si>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</si>
  <si>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</si>
  <si>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</si>
  <si>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</si>
  <si>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</si>
  <si>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</si>
  <si>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</si>
  <si>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</si>
  <si>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</si>
  <si>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</si>
  <si>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</si>
  <si>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</si>
  <si>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</si>
  <si>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</si>
  <si>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</si>
  <si>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</si>
  <si>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</si>
  <si>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</si>
  <si>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</si>
  <si>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</si>
  <si>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</si>
  <si>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</si>
  <si>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</si>
  <si>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</si>
  <si>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</si>
  <si>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</si>
  <si>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</si>
  <si>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</si>
  <si>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</si>
  <si>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</si>
  <si>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</si>
  <si>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</si>
  <si>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</si>
  <si>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</si>
  <si>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</si>
  <si>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</si>
  <si>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</si>
  <si>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</si>
  <si>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</si>
  <si>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</si>
  <si>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</si>
  <si>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</si>
  <si>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</si>
  <si>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</si>
  <si>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</si>
  <si>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</si>
  <si>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</si>
  <si>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</si>
  <si>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</si>
  <si>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</si>
  <si>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</si>
  <si>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</si>
  <si>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</si>
  <si>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</si>
  <si>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</si>
  <si>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</si>
  <si>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</si>
  <si>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</si>
  <si>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</si>
  <si>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</si>
  <si>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</si>
  <si>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</si>
  <si>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</si>
  <si>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</si>
  <si>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</si>
  <si>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</si>
  <si>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</si>
  <si>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</si>
  <si>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</si>
  <si>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</si>
  <si>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</si>
  <si>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</si>
  <si>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</si>
  <si>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</si>
  <si>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</si>
  <si>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</si>
  <si>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</si>
  <si>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</si>
  <si>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</si>
  <si>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</si>
  <si>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</si>
  <si>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</si>
  <si>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</si>
  <si>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</si>
  <si>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</si>
  <si>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</si>
  <si>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</si>
  <si>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</si>
  <si>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</si>
  <si>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</si>
  <si>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</si>
  <si>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</si>
  <si>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</si>
  <si>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</si>
  <si>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</si>
  <si>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</si>
  <si>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</si>
  <si>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</si>
  <si>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</si>
  <si>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</si>
  <si>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</si>
  <si>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</si>
  <si>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</si>
  <si>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</si>
  <si>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</si>
  <si>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</si>
  <si>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</si>
  <si>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</si>
  <si>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</si>
  <si>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</si>
  <si>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</si>
  <si>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</si>
  <si>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</si>
  <si>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</si>
  <si>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</si>
  <si>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</si>
  <si>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</si>
  <si>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</si>
  <si>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</si>
  <si>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</si>
  <si>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</si>
  <si>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</si>
  <si>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</si>
  <si>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</si>
  <si>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</si>
  <si>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</si>
  <si>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</si>
  <si>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</si>
  <si>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</si>
  <si>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</si>
  <si>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</si>
  <si>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</si>
  <si>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</si>
  <si>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</si>
  <si>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</si>
  <si>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</si>
  <si>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</si>
  <si>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</si>
  <si>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</si>
  <si>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</si>
  <si>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</si>
  <si>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</si>
  <si>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</si>
  <si>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</si>
  <si>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</si>
  <si>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</si>
  <si>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</si>
  <si>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</si>
  <si>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</si>
  <si>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</si>
  <si>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</si>
  <si>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</si>
  <si>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</si>
  <si>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</si>
  <si>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</si>
  <si>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</si>
  <si>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</si>
  <si>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</si>
  <si>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</si>
  <si>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</si>
  <si>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</si>
  <si>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</si>
  <si>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</si>
  <si>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</si>
  <si>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</si>
  <si>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</si>
  <si>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</si>
  <si>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</si>
  <si>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</si>
  <si>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</si>
  <si>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</si>
  <si>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</si>
  <si>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</si>
  <si>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</si>
  <si>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</si>
  <si>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</si>
  <si>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</si>
  <si>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</si>
  <si>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</si>
  <si>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</si>
  <si>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</si>
  <si>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</si>
  <si>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</si>
  <si>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</si>
  <si>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</si>
  <si>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</si>
  <si>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</si>
  <si>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</si>
  <si>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</si>
  <si>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</si>
  <si>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</si>
  <si>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</si>
  <si>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</si>
  <si>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</si>
  <si>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</si>
  <si>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</si>
  <si>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</si>
  <si>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</si>
  <si>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</si>
  <si>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</si>
  <si>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</si>
  <si>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</si>
  <si>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</si>
  <si>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</si>
  <si>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</si>
  <si>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</si>
  <si>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</si>
  <si>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</si>
  <si>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</si>
  <si>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</si>
  <si>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</si>
  <si>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</si>
  <si>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</si>
  <si>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</si>
  <si>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</si>
  <si>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</si>
  <si>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</si>
  <si>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</si>
  <si>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</si>
  <si>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</si>
  <si>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</si>
  <si>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</si>
  <si>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</si>
  <si>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</si>
  <si>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</si>
  <si>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</si>
  <si>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</si>
  <si>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</si>
  <si>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</si>
  <si>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</si>
  <si>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</si>
  <si>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</si>
  <si>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</si>
  <si>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</si>
  <si>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</si>
  <si>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</si>
  <si>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</si>
  <si>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</si>
  <si>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</si>
  <si>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</si>
  <si>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</si>
  <si>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</si>
  <si>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</si>
  <si>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</si>
  <si>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</si>
  <si>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</si>
  <si>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</si>
  <si>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</si>
  <si>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</si>
  <si>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</si>
  <si>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</si>
  <si>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</si>
  <si>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</si>
  <si>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</si>
  <si>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</si>
  <si>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</si>
  <si>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</si>
  <si>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</si>
  <si>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</si>
  <si>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</si>
  <si>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</si>
  <si>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</si>
  <si>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</si>
  <si>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</si>
  <si>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</si>
  <si>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</si>
  <si>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</si>
  <si>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</si>
  <si>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</si>
  <si>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</si>
  <si>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</si>
  <si>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</si>
  <si>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</si>
  <si>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</si>
  <si>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</si>
  <si>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</si>
  <si>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</si>
  <si>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</si>
  <si>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</si>
  <si>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</si>
  <si>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</si>
  <si>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</si>
  <si>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</si>
  <si>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</si>
  <si>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</si>
  <si>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</si>
  <si>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</si>
  <si>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</si>
  <si>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</si>
  <si>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</si>
  <si>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</si>
  <si>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</si>
  <si>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</si>
  <si>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</si>
  <si>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</si>
  <si>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</si>
  <si>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</si>
  <si>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</si>
  <si>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</si>
  <si>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</si>
  <si>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</si>
  <si>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</si>
  <si>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</si>
  <si>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</si>
  <si>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</si>
  <si>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</si>
  <si>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</si>
  <si>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</si>
  <si>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</si>
  <si>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</si>
  <si>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</si>
  <si>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</si>
  <si>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</si>
  <si>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</si>
  <si>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</si>
  <si>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</si>
  <si>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</si>
  <si>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</si>
  <si>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</si>
  <si>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</si>
  <si>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</si>
  <si>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</si>
  <si>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</si>
  <si>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</si>
  <si>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</si>
  <si>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</si>
  <si>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</si>
  <si>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</si>
  <si>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</si>
  <si>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</si>
  <si>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</si>
  <si>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</si>
  <si>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</si>
  <si>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</si>
  <si>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</si>
  <si>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</si>
  <si>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</si>
  <si>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</si>
  <si>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</si>
  <si>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</si>
  <si>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</si>
  <si>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</si>
  <si>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</si>
  <si>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</si>
  <si>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</si>
  <si>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</si>
  <si>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</si>
  <si>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</si>
  <si>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</si>
  <si>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</si>
  <si>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</si>
  <si>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</si>
  <si>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</si>
  <si>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</si>
  <si>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</si>
  <si>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</si>
  <si>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</si>
  <si>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</si>
  <si>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</si>
  <si>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</si>
  <si>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</si>
  <si>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</si>
  <si>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</si>
  <si>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</si>
  <si>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</si>
  <si>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</si>
  <si>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</si>
  <si>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</si>
  <si>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</si>
  <si>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</si>
  <si>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</si>
  <si>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</si>
  <si>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</si>
  <si>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</si>
  <si>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</si>
  <si>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</si>
  <si>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</si>
  <si>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</si>
  <si>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</si>
  <si>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</si>
  <si>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</si>
  <si>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</si>
  <si>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</si>
  <si>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</si>
  <si>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</si>
  <si>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</si>
  <si>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</si>
  <si>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</si>
  <si>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</si>
  <si>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</si>
  <si>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</si>
  <si>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</si>
  <si>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</si>
  <si>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</si>
  <si>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</si>
  <si>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</si>
  <si>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</si>
  <si>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</si>
  <si>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</si>
  <si>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</si>
  <si>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</si>
  <si>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</si>
  <si>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</si>
  <si>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</si>
  <si>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</si>
  <si>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</si>
  <si>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</si>
  <si>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</si>
  <si>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</si>
  <si>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</si>
  <si>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</si>
  <si>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</si>
  <si>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</si>
  <si>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</si>
  <si>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</si>
  <si>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</si>
  <si>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</si>
  <si>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</si>
  <si>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</si>
  <si>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</si>
  <si>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</si>
  <si>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</si>
  <si>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</si>
  <si>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</si>
  <si>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</si>
  <si>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</si>
  <si>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</si>
  <si>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</si>
  <si>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</si>
  <si>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</si>
  <si>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</si>
  <si>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</si>
  <si>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</si>
  <si>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</si>
  <si>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</si>
  <si>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</si>
  <si>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</si>
  <si>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</si>
  <si>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</si>
  <si>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</si>
  <si>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</si>
  <si>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</si>
  <si>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</si>
  <si>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</si>
  <si>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</si>
  <si>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</si>
  <si>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</si>
  <si>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</si>
  <si>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</si>
  <si>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</si>
  <si>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</si>
  <si>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</si>
  <si>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</si>
  <si>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</si>
  <si>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</si>
  <si>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</si>
  <si>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</si>
  <si>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</si>
  <si>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</si>
  <si>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</si>
  <si>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</si>
  <si>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</si>
  <si>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</si>
  <si>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</si>
  <si>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</si>
  <si>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</si>
  <si>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</si>
  <si>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</si>
  <si>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</si>
  <si>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</si>
  <si>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</si>
  <si>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</si>
  <si>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</si>
  <si>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</si>
  <si>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</si>
  <si>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</si>
  <si>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</si>
  <si>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</si>
  <si>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</si>
  <si>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</si>
  <si>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</si>
  <si>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</si>
  <si>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</si>
  <si>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</si>
  <si>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</si>
  <si>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</si>
  <si>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</si>
  <si>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</si>
  <si>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</si>
  <si>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</si>
  <si>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</si>
  <si>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</si>
  <si>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</si>
  <si>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</si>
  <si>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</si>
  <si>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</si>
  <si>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</si>
  <si>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</si>
  <si>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</si>
  <si>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</si>
  <si>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</si>
  <si>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</si>
  <si>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</si>
  <si>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</si>
  <si>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</si>
  <si>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</si>
  <si>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</si>
  <si>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</si>
  <si>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</si>
  <si>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</si>
  <si>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</si>
  <si>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</si>
  <si>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</si>
  <si>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</si>
  <si>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</si>
  <si>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</si>
  <si>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</si>
  <si>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</si>
  <si>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</si>
  <si>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</si>
  <si>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</si>
  <si>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</si>
  <si>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</si>
  <si>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</si>
  <si>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</si>
  <si>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</si>
  <si>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</si>
  <si>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</si>
  <si>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</si>
  <si>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</si>
  <si>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</si>
  <si>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</si>
  <si>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</si>
  <si>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</si>
  <si>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</si>
  <si>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</si>
  <si>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</si>
  <si>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</si>
  <si>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</si>
  <si>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</si>
  <si>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</si>
  <si>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</si>
  <si>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</si>
  <si>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</si>
  <si>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</si>
  <si>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</si>
  <si>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</si>
  <si>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</si>
  <si>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</si>
  <si>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</si>
  <si>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</si>
  <si>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</si>
  <si>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</si>
  <si>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</si>
  <si>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</si>
  <si>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</si>
  <si>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</si>
  <si>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</si>
  <si>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</si>
  <si>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</si>
  <si>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</si>
  <si>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</si>
  <si>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</si>
  <si>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</si>
  <si>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</si>
  <si>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</si>
  <si>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</si>
  <si>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</si>
  <si>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</si>
  <si>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</si>
  <si>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</si>
  <si>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</si>
  <si>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</si>
  <si>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</si>
  <si>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</si>
  <si>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</si>
  <si>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</si>
  <si>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</si>
  <si>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</si>
  <si>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</si>
  <si>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</si>
  <si>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</si>
  <si>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</si>
  <si>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</si>
  <si>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</si>
  <si>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</si>
  <si>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</si>
  <si>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</si>
  <si>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</si>
  <si>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</si>
  <si>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</si>
  <si>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</si>
  <si>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</si>
  <si>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</si>
  <si>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</si>
  <si>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</si>
  <si>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</si>
  <si>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</si>
  <si>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</si>
  <si>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</si>
  <si>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</si>
  <si>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</si>
  <si>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</si>
  <si>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</si>
  <si>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</si>
  <si>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</si>
  <si>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</si>
  <si>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</si>
  <si>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</si>
  <si>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</si>
  <si>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</si>
  <si>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</si>
  <si>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</si>
  <si>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</si>
  <si>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</si>
  <si>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</si>
  <si>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</si>
  <si>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</si>
  <si>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</si>
  <si>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</si>
  <si>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</si>
  <si>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</si>
  <si>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</si>
  <si>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</si>
  <si>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</si>
  <si>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</si>
  <si>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</si>
  <si>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</si>
  <si>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</si>
  <si>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</si>
  <si>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</si>
  <si>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</si>
  <si>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</si>
  <si>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</si>
  <si>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</si>
  <si>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</si>
  <si>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</si>
  <si>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</si>
  <si>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</si>
  <si>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</si>
  <si>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</si>
  <si>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</si>
  <si>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</si>
  <si>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</si>
  <si>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</si>
  <si>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</si>
  <si>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</si>
  <si>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</si>
  <si>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</si>
  <si>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</si>
  <si>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</si>
  <si>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</si>
  <si>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</si>
  <si>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</si>
  <si>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</si>
  <si>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</si>
  <si>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</si>
  <si>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</si>
  <si>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</si>
  <si>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</si>
  <si>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</si>
  <si>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</si>
  <si>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</si>
  <si>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</si>
  <si>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</si>
  <si>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</si>
  <si>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</si>
  <si>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</si>
  <si>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</si>
  <si>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</si>
  <si>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</si>
  <si>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</si>
  <si>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</si>
  <si>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</si>
  <si>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</si>
  <si>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</si>
  <si>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</si>
  <si>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</si>
  <si>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</si>
  <si>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</si>
  <si>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</si>
  <si>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</si>
  <si>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</si>
  <si>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</si>
  <si>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</si>
  <si>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</si>
  <si>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</si>
  <si>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</si>
  <si>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</si>
  <si>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</si>
  <si>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</si>
  <si>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</si>
  <si>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</si>
  <si>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</si>
  <si>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</si>
  <si>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</si>
  <si>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</si>
  <si>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</si>
  <si>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</si>
  <si>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</si>
  <si>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</si>
  <si>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</si>
  <si>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</si>
  <si>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</si>
  <si>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</si>
  <si>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</si>
  <si>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</si>
  <si>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</si>
  <si>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</si>
  <si>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</si>
  <si>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</si>
  <si>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</si>
  <si>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</si>
  <si>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</si>
  <si>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</si>
  <si>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</si>
  <si>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</si>
  <si>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</si>
  <si>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</si>
  <si>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</si>
  <si>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</si>
  <si>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</si>
  <si>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</si>
  <si>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</si>
  <si>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</si>
  <si>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</si>
  <si>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</si>
  <si>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</si>
  <si>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</si>
  <si>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</si>
  <si>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</si>
  <si>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</si>
  <si>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</si>
  <si>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</si>
  <si>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</si>
  <si>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</si>
  <si>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</si>
  <si>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</si>
  <si>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</si>
  <si>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</si>
  <si>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</si>
  <si>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</si>
  <si>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</si>
  <si>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</si>
  <si>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</si>
  <si>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</si>
  <si>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</si>
  <si>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</si>
  <si>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</si>
  <si>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</si>
  <si>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</si>
  <si>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</si>
  <si>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</si>
  <si>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</si>
  <si>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</si>
  <si>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</si>
  <si>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</si>
  <si>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</si>
  <si>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</si>
  <si>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</si>
  <si>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</si>
  <si>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</si>
  <si>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</si>
  <si>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</si>
  <si>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</si>
  <si>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</si>
  <si>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</si>
  <si>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</si>
  <si>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</si>
  <si>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</si>
  <si>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</si>
  <si>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</si>
  <si>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</si>
  <si>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</si>
  <si>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</si>
  <si>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</si>
  <si>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</si>
  <si>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</si>
  <si>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</si>
  <si>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</si>
  <si>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</si>
  <si>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</si>
  <si>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</si>
  <si>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</si>
  <si>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</si>
  <si>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</si>
  <si>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</si>
  <si>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</si>
  <si>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</si>
  <si>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</si>
  <si>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</si>
  <si>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</si>
  <si>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</si>
  <si>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</si>
  <si>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</si>
  <si>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</si>
  <si>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</si>
  <si>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</si>
  <si>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</si>
  <si>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</si>
  <si>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</si>
  <si>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</si>
  <si>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</si>
  <si>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</si>
  <si>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</si>
  <si>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</si>
  <si>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</si>
  <si>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</si>
  <si>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</si>
  <si>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</si>
  <si>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</si>
  <si>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</si>
  <si>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</si>
  <si>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</si>
  <si>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</si>
  <si>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</si>
  <si>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</si>
  <si>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</si>
  <si>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</si>
  <si>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</si>
  <si>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</si>
  <si>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</si>
  <si>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</si>
  <si>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</si>
  <si>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</si>
  <si>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</si>
  <si>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</si>
  <si>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</si>
  <si>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</si>
  <si>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</si>
  <si>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</si>
  <si>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</si>
  <si>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</si>
  <si>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</si>
  <si>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</si>
  <si>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</si>
  <si>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</si>
  <si>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</si>
  <si>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</si>
  <si>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</si>
  <si>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</si>
  <si>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</si>
  <si>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</si>
  <si>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</si>
  <si>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</si>
  <si>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</si>
  <si>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</si>
  <si>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</si>
  <si>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</si>
  <si>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</si>
  <si>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</si>
  <si>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</si>
  <si>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</si>
  <si>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</si>
  <si>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</si>
  <si>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</si>
  <si>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</si>
  <si>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</si>
  <si>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</si>
  <si>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</si>
  <si>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</si>
  <si>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</si>
  <si>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</si>
  <si>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</si>
  <si>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</si>
  <si>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</si>
  <si>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</si>
  <si>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</si>
  <si>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</si>
  <si>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</si>
  <si>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</si>
  <si>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</si>
  <si>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</si>
  <si>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</si>
  <si>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</si>
  <si>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</si>
  <si>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</si>
  <si>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</si>
  <si>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</si>
  <si>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</si>
  <si>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</si>
  <si>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</si>
  <si>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</si>
  <si>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</si>
  <si>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</si>
  <si>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</si>
  <si>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</si>
  <si>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</si>
  <si>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</si>
  <si>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</si>
  <si>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</si>
  <si>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</si>
  <si>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</si>
  <si>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</si>
  <si>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</si>
  <si>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</si>
  <si>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</si>
  <si>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</si>
  <si>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</si>
  <si>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</si>
  <si>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</si>
  <si>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</si>
  <si>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</si>
  <si>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</si>
  <si>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</si>
  <si>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</si>
  <si>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</si>
  <si>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</si>
  <si>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</si>
  <si>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</si>
  <si>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</si>
  <si>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</si>
  <si>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</si>
  <si>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</si>
  <si>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</si>
  <si>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</si>
  <si>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</si>
  <si>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</si>
  <si>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</si>
  <si>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</si>
  <si>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</si>
  <si>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</si>
  <si>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</si>
  <si>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</si>
  <si>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</si>
  <si>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</si>
  <si>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</si>
  <si>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</si>
  <si>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</si>
  <si>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</si>
  <si>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</si>
  <si>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</si>
  <si>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</si>
  <si>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</si>
  <si>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</si>
  <si>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</si>
  <si>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</si>
  <si>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</si>
  <si>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</si>
  <si>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</si>
  <si>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</si>
  <si>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</si>
  <si>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</si>
  <si>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</si>
  <si>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</si>
  <si>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</si>
  <si>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</si>
  <si>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</si>
  <si>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</si>
  <si>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</si>
  <si>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</si>
  <si>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</si>
  <si>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</si>
  <si>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</si>
  <si>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</si>
  <si>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</si>
  <si>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</si>
  <si>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</si>
  <si>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</si>
  <si>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</si>
  <si>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</si>
  <si>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</si>
  <si>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</si>
  <si>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</si>
  <si>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</si>
  <si>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</si>
  <si>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</si>
  <si>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</si>
  <si>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</si>
  <si>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</si>
  <si>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</si>
  <si>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</si>
  <si>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</si>
  <si>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</si>
  <si>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</si>
  <si>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</si>
  <si>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</si>
  <si>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</si>
  <si>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</si>
  <si>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</si>
  <si>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</si>
  <si>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</si>
  <si>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</si>
  <si>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</si>
  <si>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</si>
  <si>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</si>
  <si>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</si>
  <si>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</si>
  <si>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</si>
  <si>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</si>
  <si>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</si>
  <si>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</si>
  <si>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</si>
  <si>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</si>
  <si>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</si>
  <si>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</si>
  <si>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</si>
  <si>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</si>
  <si>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</si>
  <si>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</si>
  <si>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</si>
  <si>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</si>
  <si>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</si>
  <si>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</si>
  <si>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</si>
  <si>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</si>
  <si>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</si>
  <si>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</si>
  <si>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</si>
  <si>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</si>
  <si>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</si>
  <si>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</si>
  <si>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</si>
  <si>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</si>
  <si>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</si>
  <si>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</si>
  <si>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</si>
  <si>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</si>
  <si>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</si>
  <si>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</si>
  <si>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</si>
  <si>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</si>
  <si>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</si>
  <si>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</si>
  <si>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</si>
  <si>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</si>
  <si>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</si>
  <si>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</si>
  <si>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</si>
  <si>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</si>
  <si>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</si>
  <si>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</si>
  <si>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</si>
  <si>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</si>
  <si>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</si>
  <si>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</si>
  <si>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</si>
  <si>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</si>
  <si>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</si>
  <si>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</si>
  <si>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</si>
  <si>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</si>
  <si>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</si>
  <si>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</si>
  <si>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</si>
  <si>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</si>
  <si>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</si>
  <si>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</si>
  <si>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</si>
  <si>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</si>
  <si>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</si>
  <si>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</si>
  <si>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</si>
  <si>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</si>
  <si>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</si>
  <si>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</si>
  <si>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</si>
  <si>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</si>
  <si>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</si>
  <si>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</si>
  <si>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</si>
  <si>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</si>
  <si>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</si>
  <si>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</si>
  <si>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</si>
  <si>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</si>
  <si>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</si>
  <si>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</si>
  <si>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</si>
  <si>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</si>
  <si>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</si>
  <si>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</si>
  <si>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</si>
  <si>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</si>
  <si>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</si>
  <si>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</si>
  <si>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</si>
  <si>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</si>
  <si>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</si>
  <si>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</si>
  <si>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</si>
  <si>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</si>
  <si>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</si>
  <si>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</si>
  <si>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</si>
  <si>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</si>
  <si>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</si>
  <si>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</si>
  <si>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</si>
  <si>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</si>
  <si>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</si>
  <si>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</si>
  <si>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</si>
  <si>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</si>
  <si>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</si>
  <si>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</si>
  <si>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</si>
  <si>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</si>
  <si>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</si>
  <si>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</si>
  <si>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</si>
  <si>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</si>
  <si>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</si>
  <si>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</si>
  <si>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</si>
  <si>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</si>
  <si>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</si>
  <si>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</si>
  <si>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</si>
  <si>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</si>
  <si>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</si>
  <si>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</si>
  <si>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</si>
  <si>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</si>
  <si>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</si>
  <si>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</si>
  <si>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</si>
  <si>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</si>
  <si>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</si>
  <si>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</si>
  <si>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</si>
  <si>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</si>
  <si>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</si>
  <si>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</si>
  <si>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</si>
  <si>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</si>
  <si>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</si>
  <si>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</si>
  <si>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</si>
  <si>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</si>
  <si>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</si>
  <si>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</si>
  <si>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</si>
  <si>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</si>
  <si>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</si>
  <si>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</si>
  <si>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</si>
  <si>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</si>
  <si>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</si>
  <si>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</si>
  <si>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</si>
  <si>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</si>
  <si>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</si>
  <si>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</si>
  <si>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</si>
  <si>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</si>
  <si>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</si>
  <si>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</si>
  <si>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</si>
  <si>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</si>
  <si>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</si>
  <si>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</si>
  <si>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</si>
  <si>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</si>
  <si>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</si>
  <si>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</si>
  <si>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</si>
  <si>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</si>
  <si>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</si>
  <si>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</si>
  <si>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</si>
  <si>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</si>
  <si>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</si>
  <si>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</si>
  <si>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</si>
  <si>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</si>
  <si>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</si>
  <si>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</si>
  <si>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</si>
  <si>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</si>
  <si>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</si>
  <si>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</si>
  <si>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</si>
  <si>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</si>
  <si>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</si>
  <si>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</si>
  <si>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</si>
  <si>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</si>
  <si>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</si>
  <si>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</si>
  <si>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</si>
  <si>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</si>
  <si>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</si>
  <si>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</si>
  <si>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</si>
  <si>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</si>
  <si>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</si>
  <si>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</si>
  <si>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</si>
  <si>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</si>
  <si>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</si>
  <si>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</si>
  <si>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</si>
  <si>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</si>
  <si>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</si>
  <si>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</si>
  <si>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</si>
  <si>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</si>
  <si>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</si>
  <si>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</si>
  <si>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</si>
  <si>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</si>
  <si>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</si>
  <si>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</si>
  <si>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</si>
  <si>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</si>
  <si>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</si>
  <si>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</si>
  <si>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</si>
  <si>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</si>
  <si>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</si>
  <si>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</si>
  <si>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</si>
  <si>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</si>
  <si>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</si>
  <si>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</si>
  <si>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</si>
  <si>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</si>
  <si>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</si>
  <si>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</si>
  <si>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</si>
  <si>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</si>
  <si>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</si>
  <si>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</si>
  <si>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</si>
  <si>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</si>
  <si>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</si>
  <si>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</si>
  <si>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</si>
  <si>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</si>
  <si>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</si>
  <si>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</si>
  <si>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</si>
  <si>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</si>
  <si>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</si>
  <si>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</si>
  <si>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</si>
  <si>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</si>
  <si>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</si>
  <si>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</si>
  <si>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</si>
  <si>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</si>
  <si>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</si>
  <si>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</si>
  <si>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</si>
  <si>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</si>
  <si>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</si>
  <si>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</si>
  <si>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</si>
  <si>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</si>
  <si>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</si>
  <si>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</si>
  <si>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</si>
  <si>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</si>
  <si>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</si>
  <si>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</si>
  <si>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</si>
  <si>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</si>
  <si>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</si>
  <si>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</si>
  <si>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</si>
  <si>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</si>
  <si>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</si>
  <si>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</si>
  <si>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</si>
  <si>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</si>
  <si>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</si>
  <si>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</si>
  <si>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</si>
  <si>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</si>
  <si>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</si>
  <si>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</si>
  <si>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</si>
  <si>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</si>
  <si>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</si>
  <si>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</si>
  <si>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</si>
  <si>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</si>
  <si>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</si>
  <si>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</si>
  <si>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</si>
  <si>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</si>
  <si>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</si>
  <si>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</si>
  <si>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</si>
  <si>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</si>
  <si>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</si>
  <si>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</si>
  <si>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</si>
  <si>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</si>
  <si>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</si>
  <si>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</si>
  <si>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</si>
  <si>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</si>
  <si>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</si>
  <si>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</si>
  <si>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</si>
  <si>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</si>
  <si>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</si>
  <si>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</si>
  <si>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</si>
  <si>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</si>
  <si>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</si>
  <si>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</si>
  <si>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</si>
  <si>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</si>
  <si>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</si>
  <si>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</si>
  <si>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</si>
  <si>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</si>
  <si>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</si>
  <si>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</si>
  <si>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</si>
  <si>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</si>
  <si>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</si>
  <si>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</si>
  <si>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</si>
  <si>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</si>
  <si>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</si>
  <si>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</si>
  <si>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</si>
  <si>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</si>
  <si>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</si>
  <si>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</si>
  <si>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</si>
  <si>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</si>
  <si>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</si>
  <si>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</si>
  <si>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</si>
  <si>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</si>
  <si>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</si>
  <si>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</si>
  <si>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</si>
  <si>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</si>
  <si>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</si>
  <si>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</si>
  <si>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</si>
  <si>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</si>
  <si>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</si>
  <si>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</si>
  <si>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</si>
  <si>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</si>
  <si>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</si>
  <si>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</si>
  <si>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</si>
  <si>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</si>
  <si>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</si>
  <si>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</si>
  <si>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</si>
  <si>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</si>
  <si>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</si>
  <si>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</si>
  <si>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</si>
  <si>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</si>
  <si>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</si>
  <si>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</si>
  <si>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</si>
  <si>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</si>
  <si>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</si>
  <si>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</si>
  <si>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</si>
  <si>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</si>
  <si>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</si>
  <si>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</si>
  <si>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</si>
  <si>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</si>
  <si>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</si>
  <si>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</si>
  <si>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</si>
  <si>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</si>
  <si>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</si>
  <si>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</si>
  <si>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</si>
  <si>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</si>
  <si>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</si>
  <si>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</si>
  <si>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</si>
  <si>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</si>
  <si>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</si>
  <si>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</si>
  <si>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</si>
  <si>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</si>
  <si>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</si>
  <si>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</si>
  <si>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</si>
  <si>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</si>
  <si>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</si>
  <si>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</si>
  <si>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</si>
  <si>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</si>
  <si>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</si>
  <si>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</si>
  <si>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</si>
  <si>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</si>
  <si>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</si>
  <si>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</si>
  <si>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</si>
  <si>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</si>
  <si>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</si>
  <si>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</si>
  <si>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</si>
  <si>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</si>
  <si>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</si>
  <si>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</si>
  <si>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</si>
  <si>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</si>
  <si>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</si>
  <si>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</si>
  <si>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</si>
  <si>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</si>
  <si>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</si>
  <si>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</si>
  <si>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</si>
  <si>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</si>
  <si>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</si>
  <si>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</si>
  <si>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</si>
  <si>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</si>
  <si>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</si>
  <si>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</si>
  <si>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</si>
  <si>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</si>
  <si>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</si>
  <si>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</si>
  <si>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</si>
  <si>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</si>
  <si>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</si>
  <si>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</si>
  <si>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</si>
  <si>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</si>
  <si>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</si>
  <si>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</si>
  <si>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</si>
  <si>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</si>
  <si>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</si>
  <si>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</si>
  <si>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</si>
  <si>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</si>
  <si>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</si>
  <si>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</si>
  <si>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</si>
  <si>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</si>
  <si>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</si>
  <si>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</si>
  <si>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</si>
  <si>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</si>
  <si>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</si>
  <si>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</si>
  <si>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</si>
  <si>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</si>
  <si>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</si>
  <si>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</si>
  <si>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</si>
  <si>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</si>
  <si>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</si>
  <si>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</si>
  <si>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</si>
  <si>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</si>
  <si>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</si>
  <si>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</si>
  <si>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</si>
  <si>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</si>
  <si>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</si>
  <si>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</si>
  <si>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</si>
  <si>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</si>
  <si>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</si>
  <si>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</si>
  <si>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</si>
  <si>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</si>
  <si>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</si>
  <si>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</si>
  <si>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</si>
  <si>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</si>
  <si>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</si>
  <si>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</si>
  <si>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</si>
  <si>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</si>
  <si>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</si>
  <si>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</si>
  <si>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</si>
  <si>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</si>
  <si>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</si>
  <si>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</si>
  <si>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</si>
  <si>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</si>
  <si>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</si>
  <si>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</si>
  <si>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</si>
  <si>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</si>
  <si>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</si>
  <si>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</si>
  <si>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</si>
  <si>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</si>
  <si>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</si>
  <si>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</si>
  <si>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</si>
  <si>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</si>
  <si>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</si>
  <si>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</si>
  <si>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</si>
  <si>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</si>
  <si>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</si>
  <si>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</si>
  <si>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</si>
  <si>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</si>
  <si>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</si>
  <si>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</si>
  <si>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</si>
  <si>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</si>
  <si>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</si>
  <si>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</si>
  <si>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</si>
  <si>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</si>
  <si>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</si>
  <si>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</si>
  <si>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</si>
  <si>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</si>
  <si>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</si>
  <si>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</si>
  <si>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</si>
  <si>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</si>
  <si>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</si>
  <si>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</si>
  <si>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</si>
  <si>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</si>
  <si>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</si>
  <si>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</si>
  <si>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</si>
  <si>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</si>
  <si>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</si>
  <si>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</si>
  <si>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</si>
  <si>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</si>
  <si>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</si>
  <si>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</si>
  <si>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</si>
  <si>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</si>
  <si>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</si>
  <si>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</si>
  <si>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</si>
  <si>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</si>
  <si>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</si>
  <si>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</si>
  <si>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</si>
  <si>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</si>
  <si>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</si>
  <si>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</si>
  <si>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</si>
  <si>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</si>
  <si>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</si>
  <si>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</si>
  <si>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</si>
  <si>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</si>
  <si>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</si>
  <si>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</si>
  <si>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</si>
  <si>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</si>
  <si>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</si>
  <si>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</si>
  <si>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</si>
  <si>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</si>
  <si>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</si>
  <si>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</si>
  <si>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</si>
  <si>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</si>
  <si>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</si>
  <si>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</si>
  <si>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</si>
  <si>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</si>
  <si>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</si>
  <si>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</si>
  <si>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</si>
  <si>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</si>
  <si>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</si>
  <si>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</si>
  <si>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</si>
  <si>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</si>
  <si>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</si>
  <si>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</si>
  <si>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</si>
  <si>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</si>
  <si>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</si>
  <si>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</si>
  <si>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</si>
  <si>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</si>
  <si>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</si>
  <si>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</si>
  <si>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</si>
  <si>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</si>
  <si>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</si>
  <si>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</si>
  <si>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</si>
  <si>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</si>
  <si>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</si>
  <si>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</si>
  <si>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</si>
  <si>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</si>
  <si>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</si>
  <si>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</si>
  <si>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</si>
  <si>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</si>
  <si>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</si>
  <si>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</si>
  <si>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</si>
  <si>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</si>
  <si>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</si>
  <si>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</si>
  <si>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</si>
  <si>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</si>
  <si>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</si>
  <si>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</si>
  <si>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</si>
  <si>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</si>
  <si>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</si>
  <si>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</si>
  <si>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</si>
  <si>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</si>
  <si>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</si>
  <si>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</si>
  <si>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</si>
  <si>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</si>
  <si>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</si>
  <si>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</si>
  <si>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</si>
  <si>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</si>
  <si>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</si>
  <si>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</si>
  <si>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</si>
  <si>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</si>
  <si>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</si>
  <si>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</si>
  <si>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</si>
  <si>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</si>
  <si>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</si>
  <si>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</si>
  <si>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</si>
  <si>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</si>
  <si>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</si>
  <si>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</si>
  <si>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</si>
  <si>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</si>
  <si>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</si>
  <si>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</si>
  <si>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</si>
  <si>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</si>
  <si>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</si>
  <si>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</si>
  <si>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</si>
  <si>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</si>
  <si>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</si>
  <si>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</si>
  <si>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</si>
  <si>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</si>
  <si>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</si>
  <si>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</si>
  <si>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</si>
  <si>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</si>
  <si>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</si>
  <si>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</si>
  <si>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</si>
  <si>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</si>
  <si>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</si>
  <si>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</si>
  <si>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</si>
  <si>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</si>
  <si>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</si>
  <si>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</si>
  <si>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</si>
  <si>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</si>
  <si>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</si>
  <si>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</si>
  <si>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</si>
  <si>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</si>
  <si>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</si>
  <si>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</si>
  <si>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</si>
  <si>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</si>
  <si>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</si>
  <si>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</si>
  <si>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</si>
  <si>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</si>
  <si>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</si>
  <si>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</si>
  <si>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</si>
  <si>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</si>
  <si>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</si>
  <si>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</si>
  <si>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</si>
  <si>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</si>
  <si>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</si>
  <si>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</si>
  <si>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</si>
  <si>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</si>
  <si>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</si>
  <si>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</si>
  <si>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</si>
  <si>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</si>
  <si>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</si>
  <si>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</si>
  <si>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</si>
  <si>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</si>
  <si>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</si>
  <si>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</si>
  <si>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</si>
  <si>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</si>
  <si>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</si>
  <si>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</si>
  <si>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</si>
  <si>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</si>
  <si>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</si>
  <si>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</si>
  <si>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</si>
  <si>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</si>
  <si>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</si>
  <si>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</si>
  <si>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</si>
  <si>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</si>
  <si>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</si>
  <si>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</si>
  <si>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</si>
  <si>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</si>
  <si>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</si>
  <si>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</si>
  <si>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</si>
  <si>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</si>
  <si>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</si>
  <si>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</si>
  <si>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</si>
  <si>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</si>
  <si>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</si>
  <si>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</si>
  <si>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</si>
  <si>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</si>
  <si>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</si>
  <si>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</si>
  <si>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</si>
  <si>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</si>
  <si>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</si>
  <si>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</si>
  <si>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</si>
  <si>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</si>
  <si>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</si>
  <si>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</si>
  <si>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</si>
  <si>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</si>
  <si>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</si>
  <si>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</si>
  <si>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</si>
  <si>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</si>
  <si>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</si>
  <si>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</si>
  <si>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</si>
  <si>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</si>
  <si>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</si>
  <si>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</si>
  <si>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</si>
  <si>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</si>
  <si>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</si>
  <si>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</si>
  <si>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</si>
  <si>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</si>
  <si>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</si>
  <si>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</si>
  <si>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</si>
  <si>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</si>
  <si>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</si>
  <si>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</si>
  <si>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</si>
  <si>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</si>
  <si>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</si>
  <si>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</si>
  <si>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</si>
  <si>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</si>
  <si>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</si>
  <si>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</si>
  <si>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</si>
  <si>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</si>
  <si>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</si>
  <si>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</si>
  <si>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</si>
  <si>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</si>
  <si>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</si>
  <si>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</si>
  <si>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</si>
  <si>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</si>
  <si>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</si>
  <si>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</si>
  <si>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</si>
  <si>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</si>
  <si>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</si>
  <si>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</si>
  <si>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</si>
  <si>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</si>
  <si>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</si>
  <si>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</si>
  <si>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</si>
  <si>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</si>
  <si>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</si>
  <si>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</si>
  <si>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</si>
  <si>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</si>
  <si>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</si>
  <si>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</si>
  <si>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</si>
  <si>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</si>
  <si>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</si>
  <si>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</si>
  <si>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</si>
  <si>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</si>
  <si>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</si>
  <si>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</si>
  <si>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</si>
  <si>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</si>
  <si>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</si>
  <si>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</si>
  <si>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</si>
  <si>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</si>
  <si>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</si>
  <si>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</si>
  <si>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</si>
  <si>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</si>
  <si>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</si>
  <si>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</si>
  <si>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</si>
  <si>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</si>
  <si>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</si>
  <si>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</si>
  <si>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</si>
  <si>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</si>
  <si>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</si>
  <si>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</si>
  <si>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</si>
  <si>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</si>
  <si>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</si>
  <si>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</si>
  <si>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</si>
  <si>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</si>
  <si>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</si>
  <si>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</si>
  <si>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</si>
  <si>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</si>
  <si>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</si>
  <si>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</si>
  <si>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</si>
  <si>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</si>
  <si>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</si>
  <si>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</si>
  <si>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</si>
  <si>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</si>
  <si>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</si>
  <si>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</si>
  <si>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</si>
  <si>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</si>
  <si>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</si>
  <si>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</si>
  <si>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</si>
  <si>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</si>
  <si>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</si>
  <si>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</si>
  <si>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</si>
  <si>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</si>
  <si>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</si>
  <si>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</si>
  <si>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</si>
  <si>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</si>
  <si>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</si>
  <si>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</si>
  <si>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</si>
  <si>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</si>
  <si>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</si>
  <si>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</si>
  <si>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</si>
  <si>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</si>
  <si>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</si>
  <si>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</si>
  <si>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</si>
  <si>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</si>
  <si>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</si>
  <si>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</si>
  <si>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</si>
  <si>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</si>
  <si>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</si>
  <si>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</si>
  <si>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</si>
  <si>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</si>
  <si>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</si>
  <si>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</si>
  <si>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</si>
  <si>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</si>
  <si>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</si>
  <si>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</si>
  <si>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</si>
  <si>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</si>
  <si>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</si>
  <si>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</si>
  <si>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</si>
  <si>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</si>
  <si>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</si>
  <si>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</si>
  <si>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</si>
  <si>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</si>
  <si>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</si>
  <si>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</si>
  <si>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</si>
  <si>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</si>
  <si>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</si>
  <si>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</si>
  <si>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</si>
  <si>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</si>
  <si>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</si>
  <si>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</si>
  <si>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</si>
  <si>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</si>
  <si>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</si>
  <si>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</si>
  <si>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</si>
  <si>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</si>
  <si>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</si>
  <si>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</si>
  <si>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</si>
  <si>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</si>
  <si>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</si>
  <si>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</si>
  <si>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</si>
  <si>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</si>
  <si>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</si>
  <si>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</si>
  <si>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</si>
  <si>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</si>
  <si>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</si>
  <si>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</si>
  <si>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</si>
  <si>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</si>
  <si>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</si>
  <si>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</si>
  <si>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</si>
  <si>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</si>
  <si>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</si>
  <si>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</si>
  <si>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</si>
  <si>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</si>
  <si>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</si>
  <si>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</si>
  <si>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</si>
  <si>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</si>
  <si>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</si>
  <si>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</si>
  <si>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</si>
  <si>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</si>
  <si>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</si>
  <si>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</si>
  <si>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</si>
  <si>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</si>
  <si>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</si>
  <si>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</si>
  <si>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</si>
  <si>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</si>
  <si>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</si>
  <si>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</si>
  <si>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</si>
  <si>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</si>
  <si>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</si>
  <si>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</si>
  <si>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</si>
  <si>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</si>
  <si>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</si>
  <si>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</si>
  <si>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</si>
  <si>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</si>
  <si>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</si>
  <si>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</si>
  <si>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</si>
  <si>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</si>
  <si>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</si>
  <si>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</si>
  <si>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</si>
  <si>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</si>
  <si>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</si>
  <si>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</si>
  <si>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</si>
  <si>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</si>
  <si>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</si>
  <si>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</si>
  <si>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</si>
  <si>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</si>
  <si>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</si>
  <si>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</si>
  <si>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</si>
  <si>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</si>
  <si>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</si>
  <si>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</si>
  <si>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</si>
  <si>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</si>
  <si>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</si>
  <si>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</si>
  <si>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</si>
  <si>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</si>
  <si>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</si>
  <si>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</si>
  <si>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</si>
  <si>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</si>
  <si>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</si>
  <si>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</si>
  <si>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</si>
  <si>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</si>
  <si>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</si>
  <si>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</si>
  <si>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</si>
  <si>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</si>
  <si>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</si>
  <si>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</si>
  <si>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</si>
  <si>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</si>
  <si>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</si>
  <si>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</si>
  <si>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</si>
  <si>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</si>
  <si>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</si>
  <si>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</si>
  <si>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</si>
  <si>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</si>
  <si>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</si>
  <si>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</si>
  <si>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</si>
  <si>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</si>
  <si>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</si>
  <si>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</si>
  <si>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</si>
  <si>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</si>
  <si>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</si>
  <si>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</si>
  <si>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</si>
  <si>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</si>
  <si>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</si>
  <si>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</si>
  <si>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</si>
  <si>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</si>
  <si>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</si>
  <si>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</si>
  <si>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</si>
  <si>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</si>
  <si>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</si>
  <si>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</si>
  <si>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</si>
  <si>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</si>
  <si>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</si>
  <si>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</si>
  <si>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</si>
  <si>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</si>
  <si>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</si>
  <si>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</si>
  <si>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</si>
  <si>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</si>
  <si>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</si>
  <si>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</si>
  <si>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</si>
  <si>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</si>
  <si>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</si>
  <si>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</si>
  <si>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</si>
  <si>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</si>
  <si>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</si>
  <si>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</si>
  <si>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</si>
  <si>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</si>
  <si>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</si>
  <si>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</si>
  <si>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</si>
  <si>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</si>
  <si>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</si>
  <si>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</si>
  <si>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</si>
  <si>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</si>
  <si>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</si>
  <si>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</si>
  <si>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</si>
  <si>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</si>
  <si>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</si>
  <si>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</si>
  <si>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</si>
  <si>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</si>
  <si>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</si>
  <si>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</si>
  <si>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</si>
  <si>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</si>
  <si>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</si>
  <si>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</si>
  <si>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</si>
  <si>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</si>
  <si>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</si>
  <si>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</si>
  <si>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</si>
  <si>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</si>
  <si>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</si>
  <si>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</si>
  <si>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</si>
  <si>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</si>
  <si>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</si>
  <si>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</si>
  <si>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</si>
  <si>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</si>
  <si>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</si>
  <si>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</si>
  <si>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</si>
  <si>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</si>
  <si>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</si>
  <si>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</si>
  <si>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</si>
  <si>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</si>
  <si>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</si>
  <si>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</si>
  <si>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</si>
  <si>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</si>
  <si>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</si>
  <si>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</si>
  <si>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</si>
  <si>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</si>
  <si>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</si>
  <si>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</si>
  <si>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</si>
  <si>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</si>
  <si>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</si>
  <si>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</si>
  <si>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</si>
  <si>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</si>
  <si>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</si>
  <si>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</si>
  <si>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</si>
  <si>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</si>
  <si>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</si>
  <si>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</si>
  <si>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</si>
  <si>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</si>
  <si>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</si>
  <si>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</si>
  <si>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</si>
  <si>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</si>
  <si>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</si>
  <si>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</si>
  <si>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</si>
  <si>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</si>
  <si>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</si>
  <si>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</si>
  <si>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</si>
  <si>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</si>
  <si>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</si>
  <si>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</si>
  <si>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</si>
  <si>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</si>
  <si>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</si>
  <si>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</si>
  <si>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</si>
  <si>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</si>
  <si>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</si>
  <si>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</si>
  <si>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</si>
  <si>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</si>
  <si>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</si>
  <si>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</si>
  <si>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</si>
  <si>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</si>
  <si>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</si>
  <si>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</si>
  <si>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</si>
  <si>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</si>
  <si>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</si>
  <si>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</si>
  <si>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</si>
  <si>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</si>
  <si>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</si>
  <si>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</si>
  <si>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</si>
  <si>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</si>
  <si>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</si>
  <si>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</si>
  <si>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</si>
  <si>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</si>
  <si>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</si>
  <si>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</si>
  <si>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</si>
  <si>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</si>
  <si>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</si>
  <si>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</si>
  <si>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</si>
  <si>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</si>
  <si>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</si>
  <si>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</si>
  <si>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</si>
  <si>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</si>
  <si>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</si>
  <si>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</si>
  <si>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</si>
  <si>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</si>
  <si>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</si>
  <si>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</si>
  <si>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</si>
  <si>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</si>
  <si>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</si>
  <si>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</si>
  <si>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</si>
  <si>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</si>
  <si>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</si>
  <si>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</si>
  <si>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</si>
  <si>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</si>
  <si>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</si>
  <si>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</si>
  <si>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</si>
  <si>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</si>
  <si>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</si>
  <si>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</si>
  <si>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</si>
  <si>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</si>
  <si>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</si>
  <si>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</si>
  <si>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</si>
  <si>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</si>
  <si>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</si>
  <si>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</si>
  <si>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</si>
  <si>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</si>
  <si>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</si>
  <si>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</si>
  <si>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</si>
  <si>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</si>
  <si>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</si>
  <si>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</si>
  <si>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</si>
  <si>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</si>
  <si>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</si>
  <si>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</si>
  <si>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</si>
  <si>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</si>
  <si>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</si>
  <si>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</si>
  <si>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</si>
  <si>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</si>
  <si>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</si>
  <si>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</si>
  <si>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</si>
  <si>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</si>
  <si>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</si>
  <si>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</si>
  <si>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</si>
  <si>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</si>
  <si>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</si>
  <si>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</si>
  <si>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</si>
  <si>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</si>
  <si>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</si>
  <si>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</si>
  <si>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</si>
  <si>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</si>
  <si>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</si>
  <si>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</si>
  <si>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</si>
  <si>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</si>
  <si>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</si>
  <si>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</si>
  <si>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</si>
  <si>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</si>
  <si>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</si>
  <si>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</si>
  <si>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</si>
  <si>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</si>
  <si>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</si>
  <si>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</si>
  <si>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</si>
  <si>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</si>
  <si>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</si>
  <si>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</si>
  <si>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</si>
  <si>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</si>
  <si>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</si>
  <si>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</si>
  <si>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</si>
  <si>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</si>
  <si>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</si>
  <si>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</si>
  <si>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</si>
  <si>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</si>
  <si>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</si>
  <si>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</si>
  <si>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</si>
  <si>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</si>
  <si>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</si>
  <si>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</si>
  <si>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</si>
  <si>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</si>
  <si>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</si>
  <si>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</si>
  <si>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</si>
  <si>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</si>
  <si>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</si>
  <si>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</si>
  <si>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</si>
  <si>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</si>
  <si>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</si>
  <si>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</si>
  <si>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</si>
  <si>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</si>
  <si>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</si>
  <si>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</si>
  <si>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</si>
  <si>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</si>
  <si>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</si>
  <si>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</si>
  <si>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</si>
  <si>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</si>
  <si>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</si>
  <si>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</si>
  <si>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</si>
  <si>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</si>
  <si>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</si>
  <si>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</si>
  <si>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</si>
  <si>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</si>
  <si>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</si>
  <si>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</si>
  <si>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</si>
  <si>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</si>
  <si>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</si>
  <si>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</si>
  <si>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</si>
  <si>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</si>
  <si>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</si>
  <si>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</si>
  <si>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</si>
  <si>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</si>
  <si>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</si>
  <si>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</si>
  <si>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</si>
  <si>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</si>
  <si>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</si>
  <si>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</si>
  <si>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</si>
  <si>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</si>
  <si>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</si>
  <si>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</si>
  <si>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</si>
  <si>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</si>
  <si>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</si>
  <si>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</si>
  <si>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</si>
  <si>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</si>
  <si>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</si>
  <si>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</si>
  <si>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</si>
  <si>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</si>
  <si>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</si>
  <si>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</si>
  <si>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</si>
  <si>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</si>
  <si>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</si>
  <si>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</si>
  <si>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</si>
  <si>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</si>
  <si>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</si>
  <si>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</si>
  <si>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</si>
  <si>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</si>
  <si>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</si>
  <si>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</si>
  <si>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</si>
  <si>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</si>
  <si>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</si>
  <si>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</si>
  <si>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</si>
  <si>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</si>
  <si>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</si>
  <si>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</si>
  <si>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</si>
  <si>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</si>
  <si>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</si>
  <si>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</si>
  <si>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</si>
  <si>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</si>
  <si>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</si>
  <si>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</si>
  <si>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</si>
  <si>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</si>
  <si>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</si>
  <si>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</si>
  <si>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</si>
  <si>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</si>
  <si>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</si>
  <si>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</si>
  <si>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</si>
  <si>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</si>
  <si>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</si>
  <si>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</si>
  <si>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</si>
  <si>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</si>
  <si>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</si>
  <si>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</si>
  <si>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</si>
  <si>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</si>
  <si>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</si>
  <si>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</si>
  <si>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</si>
  <si>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</si>
  <si>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</si>
  <si>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</si>
  <si>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</si>
  <si>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</si>
  <si>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</si>
  <si>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</si>
  <si>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</si>
  <si>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</si>
  <si>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</si>
  <si>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</si>
  <si>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</si>
  <si>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</si>
  <si>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</si>
  <si>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</si>
  <si>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</si>
  <si>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</si>
  <si>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</si>
  <si>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</si>
  <si>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</si>
  <si>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</si>
  <si>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</si>
  <si>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</si>
  <si>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</si>
  <si>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</si>
  <si>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</si>
  <si>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</si>
  <si>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</si>
  <si>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</si>
  <si>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</si>
  <si>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</si>
  <si>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</si>
  <si>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</si>
  <si>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</si>
  <si>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</si>
  <si>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</si>
  <si>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</si>
  <si>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</si>
  <si>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</si>
  <si>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</si>
  <si>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</si>
  <si>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</si>
  <si>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</si>
  <si>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</si>
  <si>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</si>
  <si>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</si>
  <si>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</si>
  <si>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</si>
  <si>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</si>
  <si>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</si>
  <si>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</si>
  <si>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</si>
  <si>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</si>
  <si>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</si>
  <si>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</si>
  <si>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</si>
  <si>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</si>
  <si>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</si>
  <si>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</si>
  <si>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</si>
  <si>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</si>
  <si>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</si>
  <si>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</si>
  <si>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</si>
  <si>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</si>
  <si>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</si>
  <si>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</si>
  <si>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</si>
  <si>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</si>
  <si>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</si>
  <si>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</si>
  <si>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</si>
  <si>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</si>
  <si>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</si>
  <si>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</si>
  <si>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</si>
  <si>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</si>
  <si>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</si>
  <si>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</si>
  <si>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</si>
  <si>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</si>
  <si>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</si>
  <si>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</si>
  <si>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</si>
  <si>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</si>
  <si>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</si>
  <si>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</si>
  <si>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</si>
  <si>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</si>
  <si>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</si>
  <si>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</si>
  <si>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</si>
  <si>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</si>
  <si>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</si>
  <si>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</si>
  <si>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</si>
  <si>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</si>
  <si>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</si>
  <si>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</si>
  <si>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</si>
  <si>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</si>
  <si>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</si>
  <si>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</si>
  <si>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</si>
  <si>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</si>
  <si>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</si>
  <si>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</si>
  <si>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</si>
  <si>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</si>
  <si>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</si>
  <si>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</si>
  <si>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</si>
  <si>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</si>
  <si>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</si>
  <si>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</si>
  <si>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</si>
  <si>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</si>
  <si>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</si>
  <si>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</si>
  <si>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</si>
  <si>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</si>
  <si>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</si>
  <si>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</si>
  <si>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</si>
  <si>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</si>
  <si>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</si>
  <si>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</si>
  <si>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</si>
  <si>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</si>
  <si>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</si>
  <si>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</si>
  <si>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</si>
  <si>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</si>
  <si>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</si>
  <si>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</si>
  <si>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</si>
  <si>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</si>
  <si>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</si>
  <si>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</si>
  <si>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</si>
  <si>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</si>
  <si>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</si>
  <si>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</si>
  <si>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</si>
  <si>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</si>
  <si>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</si>
  <si>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</si>
  <si>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</si>
  <si>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</si>
  <si>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</si>
  <si>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</si>
  <si>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</si>
  <si>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</si>
  <si>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</si>
  <si>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</si>
  <si>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</si>
  <si>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</si>
  <si>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</si>
  <si>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</si>
  <si>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</si>
  <si>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</si>
  <si>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</si>
  <si>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</si>
  <si>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</si>
  <si>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</si>
  <si>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</si>
  <si>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</si>
  <si>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</si>
  <si>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</si>
  <si>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</si>
  <si>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</si>
  <si>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</si>
  <si>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</si>
  <si>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</si>
  <si>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</si>
  <si>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</si>
  <si>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</si>
  <si>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</si>
  <si>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</si>
  <si>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</si>
  <si>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</si>
  <si>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</si>
  <si>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</si>
  <si>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</si>
  <si>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</si>
  <si>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</si>
  <si>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</si>
  <si>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</si>
  <si>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</si>
  <si>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</si>
  <si>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</si>
  <si>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</si>
  <si>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</si>
  <si>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</si>
  <si>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</si>
  <si>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</si>
  <si>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</si>
  <si>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</si>
  <si>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</si>
  <si>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</si>
  <si>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</si>
  <si>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</si>
  <si>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</si>
  <si>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</si>
  <si>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</si>
  <si>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</si>
  <si>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</si>
  <si>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</si>
  <si>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</si>
  <si>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</si>
  <si>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</si>
  <si>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</si>
  <si>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</si>
  <si>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</si>
  <si>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</si>
  <si>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</si>
  <si>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</si>
  <si>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</si>
  <si>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</si>
  <si>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</si>
  <si>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</si>
  <si>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</si>
  <si>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</si>
  <si>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</si>
  <si>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</si>
  <si>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</si>
  <si>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</si>
  <si>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</si>
  <si>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</si>
  <si>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</si>
  <si>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</si>
  <si>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</si>
  <si>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</si>
  <si>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</si>
  <si>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</si>
  <si>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</si>
  <si>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</si>
  <si>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</si>
  <si>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</si>
  <si>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</si>
  <si>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</si>
  <si>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</si>
  <si>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</si>
  <si>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</si>
  <si>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</si>
  <si>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</si>
  <si>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</si>
  <si>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</si>
  <si>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</si>
  <si>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</si>
  <si>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</si>
  <si>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</si>
  <si>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</si>
  <si>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</si>
  <si>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</si>
  <si>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</si>
  <si>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</si>
  <si>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</si>
  <si>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</si>
  <si>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</si>
  <si>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</si>
  <si>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</si>
  <si>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</si>
  <si>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</si>
  <si>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</si>
  <si>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</si>
  <si>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</si>
  <si>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</si>
  <si>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</si>
  <si>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</si>
  <si>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</si>
  <si>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</si>
  <si>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</si>
  <si>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</si>
  <si>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</si>
  <si>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</si>
  <si>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</si>
  <si>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</si>
  <si>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</si>
  <si>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</si>
  <si>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</si>
  <si>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</si>
  <si>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</si>
  <si>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</si>
  <si>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</si>
  <si>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</si>
  <si>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</si>
  <si>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</si>
  <si>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</si>
  <si>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</si>
  <si>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</si>
  <si>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</si>
  <si>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</si>
  <si>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</si>
  <si>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</si>
  <si>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</si>
  <si>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</si>
  <si>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</si>
  <si>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</si>
  <si>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</si>
  <si>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</si>
  <si>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</si>
  <si>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</si>
  <si>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</si>
  <si>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</si>
  <si>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</si>
  <si>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</si>
  <si>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</si>
  <si>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</si>
  <si>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</si>
  <si>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</si>
  <si>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</si>
  <si>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</si>
  <si>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</si>
  <si>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</si>
  <si>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</si>
  <si>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</si>
  <si>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</si>
  <si>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</si>
  <si>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</si>
  <si>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</si>
  <si>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</si>
  <si>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</si>
  <si>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</si>
  <si>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</si>
  <si>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</si>
  <si>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</si>
  <si>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</si>
  <si>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</si>
  <si>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</si>
  <si>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</si>
  <si>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</si>
  <si>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</si>
  <si>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</si>
  <si>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</si>
  <si>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</si>
  <si>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</si>
  <si>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</si>
  <si>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</si>
  <si>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</si>
  <si>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</si>
  <si>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</si>
  <si>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</si>
  <si>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</si>
  <si>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</si>
  <si>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</si>
  <si>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</si>
  <si>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</si>
  <si>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</si>
  <si>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</si>
  <si>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</si>
  <si>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</si>
  <si>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</si>
  <si>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</si>
  <si>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</si>
  <si>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</si>
  <si>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</si>
  <si>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</si>
  <si>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</si>
  <si>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</si>
  <si>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</si>
  <si>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</si>
  <si>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</si>
  <si>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</si>
  <si>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</si>
  <si>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</si>
  <si>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</si>
  <si>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</si>
  <si>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</si>
  <si>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</si>
  <si>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</si>
  <si>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</si>
  <si>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</si>
  <si>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</si>
  <si>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</si>
  <si>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</si>
  <si>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</si>
  <si>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</si>
  <si>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</si>
  <si>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</si>
  <si>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</si>
  <si>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</si>
  <si>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</si>
  <si>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</si>
  <si>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</si>
  <si>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</si>
  <si>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</si>
  <si>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</si>
  <si>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</si>
  <si>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</si>
  <si>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</si>
  <si>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</si>
  <si>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</si>
  <si>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</si>
  <si>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</si>
  <si>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</si>
  <si>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</si>
  <si>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</si>
  <si>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</si>
  <si>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</si>
  <si>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</si>
  <si>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</si>
  <si>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</si>
  <si>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</si>
  <si>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</si>
  <si>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</si>
  <si>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</si>
  <si>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</si>
  <si>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</si>
  <si>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</si>
  <si>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</si>
  <si>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</si>
  <si>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</si>
  <si>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</si>
  <si>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</si>
  <si>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</si>
  <si>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</si>
  <si>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</si>
  <si>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</si>
  <si>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</si>
  <si>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</si>
  <si>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</si>
  <si>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</si>
  <si>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</si>
  <si>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</si>
  <si>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</si>
  <si>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</si>
  <si>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</si>
  <si>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</si>
  <si>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</si>
  <si>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</si>
  <si>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</si>
  <si>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</si>
  <si>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</si>
  <si>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</si>
  <si>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</si>
  <si>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</si>
  <si>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</si>
  <si>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</si>
  <si>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</si>
  <si>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</si>
  <si>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</si>
  <si>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</si>
  <si>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</si>
  <si>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</si>
  <si>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</si>
  <si>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</si>
  <si>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</si>
  <si>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</si>
  <si>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</si>
  <si>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</si>
  <si>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</si>
  <si>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</si>
  <si>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</si>
  <si>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</si>
  <si>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</si>
  <si>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</si>
  <si>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</si>
  <si>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</si>
  <si>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</si>
  <si>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</si>
  <si>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</si>
  <si>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</si>
  <si>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</si>
  <si>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</si>
  <si>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</si>
  <si>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</si>
  <si>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</si>
  <si>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</si>
  <si>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</si>
  <si>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</si>
  <si>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</si>
  <si>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</si>
  <si>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</si>
  <si>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</si>
  <si>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</si>
  <si>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</si>
  <si>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</si>
  <si>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</si>
  <si>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</si>
  <si>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</si>
  <si>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</si>
  <si>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</si>
  <si>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</si>
  <si>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</si>
  <si>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</si>
  <si>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</si>
  <si>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</si>
  <si>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</si>
  <si>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</si>
  <si>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</si>
  <si>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</si>
  <si>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</si>
  <si>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</si>
  <si>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</si>
  <si>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</si>
  <si>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</si>
  <si>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</si>
  <si>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</si>
  <si>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</si>
  <si>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</si>
  <si>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</si>
  <si>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</si>
  <si>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</si>
  <si>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</si>
  <si>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</si>
  <si>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</si>
  <si>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</si>
  <si>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</si>
  <si>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</si>
  <si>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</si>
  <si>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</si>
  <si>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</si>
  <si>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</si>
  <si>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</si>
  <si>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</si>
  <si>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</si>
  <si>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</si>
  <si>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</si>
  <si>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</si>
  <si>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</si>
  <si>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</si>
  <si>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</si>
  <si>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</si>
  <si>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</si>
  <si>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</si>
  <si>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</si>
  <si>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</si>
  <si>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</si>
  <si>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</si>
  <si>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</si>
  <si>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</si>
  <si>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</si>
  <si>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</si>
  <si>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</si>
  <si>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</si>
  <si>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</si>
  <si>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</si>
  <si>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</si>
  <si>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</si>
  <si>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</si>
  <si>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</si>
  <si>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</si>
  <si>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</si>
  <si>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</si>
  <si>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</si>
  <si>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</si>
  <si>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</si>
  <si>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</si>
  <si>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</si>
  <si>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</si>
  <si>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</si>
  <si>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</si>
  <si>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</si>
  <si>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</si>
  <si>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</si>
  <si>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</si>
  <si>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</si>
  <si>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</si>
  <si>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</si>
  <si>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</si>
  <si>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</si>
  <si>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</si>
  <si>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</si>
  <si>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</si>
  <si>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</si>
  <si>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</si>
  <si>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</si>
  <si>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</si>
  <si>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</si>
  <si>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</si>
  <si>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</si>
  <si>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</si>
  <si>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</si>
  <si>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</si>
  <si>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</si>
  <si>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</si>
  <si>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</si>
  <si>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</si>
  <si>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</si>
  <si>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</si>
  <si>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</si>
  <si>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</si>
  <si>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</si>
  <si>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</si>
  <si>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</si>
  <si>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</si>
  <si>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</si>
  <si>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</si>
  <si>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</si>
  <si>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</si>
  <si>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</si>
  <si>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</si>
  <si>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</si>
  <si>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</si>
  <si>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</si>
  <si>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</si>
  <si>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</si>
  <si>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</si>
  <si>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</si>
  <si>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</si>
  <si>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</si>
  <si>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</si>
  <si>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</si>
  <si>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</si>
  <si>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</si>
  <si>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</si>
  <si>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</si>
  <si>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</si>
  <si>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</si>
  <si>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</si>
  <si>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</si>
  <si>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</si>
  <si>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</si>
  <si>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</si>
  <si>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</si>
  <si>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</si>
  <si>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</si>
  <si>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</si>
  <si>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</si>
  <si>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</si>
  <si>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</si>
  <si>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</si>
  <si>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</si>
  <si>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</si>
  <si>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</si>
  <si>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</si>
  <si>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</si>
  <si>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</si>
  <si>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</si>
  <si>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</si>
  <si>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</si>
  <si>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</si>
  <si>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</si>
  <si>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</si>
  <si>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</si>
  <si>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</si>
  <si>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</si>
  <si>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</si>
  <si>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</si>
  <si>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</si>
  <si>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</si>
  <si>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</si>
  <si>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</si>
  <si>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</si>
  <si>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</si>
  <si>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</si>
  <si>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</si>
  <si>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</si>
  <si>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</si>
  <si>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</si>
  <si>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</si>
  <si>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</si>
  <si>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</si>
  <si>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</si>
  <si>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</si>
  <si>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</si>
  <si>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</si>
  <si>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</si>
  <si>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</si>
  <si>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</si>
  <si>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</si>
  <si>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</si>
  <si>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</si>
  <si>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</si>
  <si>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</si>
  <si>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</si>
  <si>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</si>
  <si>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</si>
  <si>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</si>
  <si>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</si>
  <si>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</si>
  <si>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</si>
  <si>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</si>
  <si>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</si>
  <si>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</si>
  <si>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</si>
  <si>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</si>
  <si>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</si>
  <si>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</si>
  <si>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</si>
  <si>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</si>
  <si>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</si>
  <si>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</si>
  <si>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</si>
  <si>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</si>
  <si>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</si>
  <si>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</si>
  <si>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</si>
  <si>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</si>
  <si>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</si>
  <si>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</si>
  <si>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</si>
  <si>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</si>
  <si>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</si>
  <si>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</si>
  <si>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</si>
  <si>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</si>
  <si>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</si>
  <si>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</si>
  <si>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</si>
  <si>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</si>
  <si>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</si>
  <si>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</si>
  <si>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</si>
  <si>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</si>
  <si>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</si>
  <si>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</si>
  <si>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</si>
  <si>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</si>
  <si>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</si>
  <si>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</si>
  <si>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</si>
  <si>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</si>
  <si>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</si>
  <si>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</si>
  <si>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</si>
  <si>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</si>
  <si>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</si>
  <si>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</si>
  <si>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</si>
  <si>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</si>
  <si>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</si>
  <si>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</si>
  <si>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</si>
  <si>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</si>
  <si>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</si>
  <si>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</si>
  <si>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</si>
  <si>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</si>
  <si>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</si>
  <si>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</si>
  <si>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</si>
  <si>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</si>
  <si>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</si>
  <si>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</si>
  <si>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</si>
  <si>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</si>
  <si>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</si>
  <si>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</si>
  <si>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</si>
  <si>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</si>
  <si>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</si>
  <si>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</si>
  <si>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</si>
  <si>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</si>
  <si>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</si>
  <si>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</si>
  <si>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</si>
  <si>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</si>
  <si>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</si>
  <si>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</si>
  <si>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</si>
  <si>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</si>
  <si>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</si>
  <si>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</si>
  <si>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</si>
  <si>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</si>
  <si>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</si>
  <si>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</si>
  <si>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</si>
  <si>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</si>
  <si>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</si>
  <si>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</si>
  <si>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</si>
  <si>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</si>
  <si>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</si>
  <si>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</si>
  <si>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</si>
  <si>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</si>
  <si>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</si>
  <si>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</si>
  <si>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</si>
  <si>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</si>
  <si>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</si>
  <si>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</si>
  <si>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</si>
  <si>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</si>
  <si>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</si>
  <si>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</si>
  <si>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</si>
  <si>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</si>
  <si>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</si>
  <si>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</si>
  <si>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</si>
  <si>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</si>
  <si>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</si>
  <si>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</si>
  <si>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</si>
  <si>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</si>
  <si>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</si>
  <si>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</si>
  <si>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</si>
  <si>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</si>
  <si>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</si>
  <si>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</si>
  <si>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</si>
  <si>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</si>
  <si>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</si>
  <si>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</si>
  <si>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</si>
  <si>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</si>
  <si>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</si>
  <si>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</si>
  <si>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</si>
  <si>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</si>
  <si>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</si>
  <si>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</si>
  <si>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</si>
  <si>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</si>
  <si>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</si>
  <si>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</si>
  <si>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</si>
  <si>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</si>
  <si>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</si>
  <si>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</si>
  <si>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</si>
  <si>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</si>
  <si>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</si>
  <si>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</si>
  <si>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</si>
  <si>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</si>
  <si>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</si>
  <si>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</si>
  <si>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</si>
  <si>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</si>
  <si>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</si>
  <si>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</si>
  <si>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</si>
  <si>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</si>
  <si>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</si>
  <si>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</si>
  <si>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</si>
  <si>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</si>
  <si>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</si>
  <si>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</si>
  <si>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</si>
  <si>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</si>
  <si>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</si>
  <si>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</si>
  <si>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</si>
  <si>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</si>
  <si>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</si>
  <si>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</si>
  <si>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</si>
  <si>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</si>
  <si>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</si>
  <si>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</si>
  <si>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</si>
  <si>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</si>
  <si>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</si>
  <si>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</si>
  <si>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</si>
  <si>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</si>
  <si>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</si>
  <si>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</si>
  <si>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</si>
  <si>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</si>
  <si>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</si>
  <si>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</si>
  <si>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</si>
  <si>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</si>
  <si>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</si>
  <si>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</si>
  <si>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</si>
  <si>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</si>
  <si>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</si>
  <si>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</si>
  <si>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</si>
  <si>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</si>
  <si>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</si>
  <si>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</si>
  <si>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</si>
  <si>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</si>
  <si>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</si>
  <si>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</si>
  <si>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</si>
  <si>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</si>
  <si>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</si>
  <si>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</si>
  <si>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</si>
  <si>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</si>
  <si>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</si>
  <si>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</si>
  <si>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</si>
  <si>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</si>
  <si>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</si>
  <si>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</si>
  <si>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</si>
  <si>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</si>
  <si>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</si>
  <si>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</si>
  <si>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</si>
  <si>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</si>
  <si>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</si>
  <si>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</si>
  <si>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</si>
  <si>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</si>
  <si>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</si>
  <si>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</si>
  <si>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</si>
  <si>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</si>
  <si>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</si>
  <si>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</si>
  <si>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</si>
  <si>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</si>
  <si>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</si>
  <si>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</si>
  <si>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</si>
  <si>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</si>
  <si>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</si>
  <si>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</si>
  <si>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</si>
  <si>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</si>
  <si>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</si>
  <si>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</si>
  <si>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</si>
  <si>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</si>
  <si>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</si>
  <si>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</si>
  <si>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</si>
  <si>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</si>
  <si>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</si>
  <si>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</si>
  <si>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</si>
  <si>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</si>
  <si>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</si>
  <si>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</si>
  <si>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</si>
  <si>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</si>
  <si>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</si>
  <si>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</si>
  <si>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</si>
  <si>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</si>
  <si>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</si>
  <si>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</si>
  <si>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</si>
  <si>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</si>
  <si>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</si>
  <si>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</si>
  <si>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</si>
  <si>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</si>
  <si>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</si>
  <si>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</si>
  <si>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</si>
  <si>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</si>
  <si>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</si>
  <si>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</si>
  <si>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</si>
  <si>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</si>
  <si>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</si>
  <si>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</si>
  <si>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</si>
  <si>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</si>
  <si>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</si>
  <si>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</si>
  <si>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</si>
  <si>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</si>
  <si>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</si>
  <si>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</si>
  <si>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</si>
  <si>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</si>
  <si>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</si>
  <si>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</si>
  <si>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</si>
  <si>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</si>
  <si>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</si>
  <si>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</si>
  <si>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</si>
  <si>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</si>
  <si>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</si>
  <si>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</si>
  <si>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</si>
  <si>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</si>
  <si>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</si>
  <si>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</si>
  <si>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</si>
  <si>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</si>
  <si>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</si>
  <si>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</si>
  <si>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</si>
  <si>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</si>
  <si>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</si>
  <si>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</si>
  <si>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</si>
  <si>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</si>
  <si>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</si>
  <si>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</si>
  <si>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</si>
  <si>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</si>
  <si>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</si>
  <si>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</si>
  <si>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</si>
  <si>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</si>
  <si>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</si>
  <si>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</si>
  <si>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</si>
  <si>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</si>
  <si>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</si>
  <si>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</si>
  <si>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</si>
  <si>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</si>
  <si>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</si>
  <si>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</si>
  <si>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</si>
  <si>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</si>
  <si>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</si>
  <si>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</si>
  <si>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</si>
  <si>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</si>
  <si>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</si>
  <si>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</si>
  <si>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</si>
  <si>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</si>
  <si>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</si>
  <si>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</si>
  <si>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</si>
  <si>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</si>
  <si>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</si>
  <si>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</si>
  <si>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</si>
  <si>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</si>
  <si>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</si>
  <si>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</si>
  <si>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</si>
  <si>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</si>
  <si>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</si>
  <si>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</si>
  <si>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</si>
  <si>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</si>
  <si>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</si>
  <si>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</si>
  <si>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</si>
  <si>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</si>
  <si>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</si>
  <si>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</si>
  <si>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</si>
  <si>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</si>
  <si>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</si>
  <si>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</si>
  <si>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</si>
  <si>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</si>
  <si>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</si>
  <si>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</si>
  <si>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</si>
  <si>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</si>
  <si>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</si>
  <si>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</si>
  <si>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</si>
  <si>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</si>
  <si>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</si>
  <si>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</si>
  <si>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</si>
  <si>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</si>
  <si>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</si>
  <si>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</si>
  <si>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</si>
  <si>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</si>
  <si>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</si>
  <si>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</si>
  <si>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</si>
  <si>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</si>
  <si>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</si>
  <si>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</si>
  <si>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</si>
  <si>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</si>
  <si>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</si>
  <si>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</si>
  <si>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</si>
  <si>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</si>
  <si>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</si>
  <si>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</si>
  <si>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</si>
  <si>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</si>
  <si>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</si>
  <si>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</si>
  <si>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</si>
  <si>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</si>
  <si>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</si>
  <si>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</si>
  <si>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</si>
  <si>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</si>
  <si>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</si>
  <si>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</si>
  <si>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</si>
  <si>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</si>
  <si>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</si>
  <si>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</si>
  <si>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</si>
  <si>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</si>
  <si>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</si>
  <si>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</si>
  <si>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</si>
  <si>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</si>
  <si>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</si>
  <si>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</si>
  <si>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</si>
  <si>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</si>
  <si>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</si>
  <si>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</si>
  <si>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</si>
  <si>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</si>
  <si>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</si>
  <si>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</si>
  <si>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</si>
  <si>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</si>
  <si>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</si>
  <si>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</si>
  <si>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</si>
  <si>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</si>
  <si>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</si>
  <si>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</si>
  <si>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</si>
  <si>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</si>
  <si>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</si>
  <si>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</si>
  <si>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</si>
  <si>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</si>
  <si>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</si>
  <si>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</si>
  <si>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</si>
  <si>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</si>
  <si>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</si>
  <si>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</si>
  <si>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</si>
  <si>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</si>
  <si>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</si>
  <si>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</si>
  <si>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</si>
  <si>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</si>
  <si>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</si>
  <si>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</si>
  <si>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</si>
  <si>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</si>
  <si>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</si>
  <si>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</si>
  <si>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</si>
  <si>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</si>
  <si>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</si>
  <si>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</si>
  <si>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</si>
  <si>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</si>
  <si>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</si>
  <si>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</si>
  <si>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</si>
  <si>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</si>
  <si>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</si>
  <si>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</si>
  <si>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</si>
  <si>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</si>
  <si>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</si>
  <si>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</si>
  <si>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</si>
  <si>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</si>
  <si>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</si>
  <si>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</si>
  <si>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</si>
  <si>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</si>
  <si>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</si>
  <si>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</si>
  <si>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</si>
  <si>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</si>
  <si>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</si>
  <si>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</si>
  <si>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</si>
  <si>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</si>
  <si>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</si>
  <si>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</si>
  <si>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</si>
  <si>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</si>
  <si>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</si>
  <si>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</si>
  <si>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</si>
  <si>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</si>
  <si>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</si>
  <si>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</si>
  <si>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</si>
  <si>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</si>
  <si>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</si>
  <si>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</si>
  <si>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</si>
  <si>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</si>
  <si>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</si>
  <si>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</si>
  <si>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</si>
  <si>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</si>
  <si>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</si>
  <si>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</si>
  <si>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</si>
  <si>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</si>
  <si>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</si>
  <si>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</si>
  <si>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</si>
  <si>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</si>
  <si>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</si>
  <si>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</si>
  <si>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</si>
  <si>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</si>
  <si>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</si>
  <si>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</si>
  <si>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</si>
  <si>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</si>
  <si>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</si>
  <si>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</si>
  <si>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</si>
  <si>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</si>
  <si>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</si>
  <si>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</si>
  <si>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</si>
  <si>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</si>
  <si>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</si>
  <si>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</si>
  <si>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</si>
  <si>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</si>
  <si>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</si>
  <si>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</si>
  <si>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</si>
  <si>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</si>
  <si>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</si>
  <si>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</si>
  <si>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</si>
  <si>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</si>
  <si>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</si>
  <si>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</si>
  <si>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</si>
  <si>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</si>
  <si>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</si>
  <si>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</si>
  <si>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</si>
  <si>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</si>
  <si>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</si>
  <si>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</si>
  <si>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</si>
  <si>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</si>
  <si>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</si>
  <si>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</si>
  <si>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</si>
  <si>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</si>
  <si>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</si>
  <si>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</si>
  <si>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</si>
  <si>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</si>
  <si>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</si>
  <si>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</si>
  <si>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</si>
  <si>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</si>
  <si>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</si>
  <si>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</si>
  <si>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</si>
  <si>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</si>
  <si>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</si>
  <si>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</si>
  <si>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</si>
  <si>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</si>
  <si>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</si>
  <si>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</si>
  <si>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</si>
  <si>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</si>
  <si>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</si>
  <si>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</si>
  <si>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</si>
  <si>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</si>
  <si>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</si>
  <si>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</si>
  <si>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</si>
  <si>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</si>
  <si>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</si>
  <si>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</si>
  <si>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</si>
  <si>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</si>
  <si>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</si>
  <si>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</si>
  <si>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</si>
  <si>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</si>
  <si>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</si>
  <si>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</si>
  <si>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</si>
  <si>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</si>
  <si>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</si>
  <si>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</si>
  <si>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</si>
  <si>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</si>
  <si>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</si>
  <si>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</si>
  <si>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</si>
  <si>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</si>
  <si>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</si>
  <si>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</si>
  <si>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</si>
  <si>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</si>
  <si>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</si>
  <si>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</si>
  <si>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</si>
  <si>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</si>
  <si>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</si>
  <si>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</si>
  <si>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</si>
  <si>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</si>
  <si>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</si>
  <si>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</si>
  <si>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</si>
  <si>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</si>
  <si>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</si>
  <si>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</si>
  <si>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</si>
  <si>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</si>
  <si>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</si>
  <si>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</si>
  <si>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</si>
  <si>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</si>
  <si>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</si>
  <si>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</si>
  <si>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</si>
  <si>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</si>
  <si>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</si>
  <si>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</si>
  <si>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</si>
  <si>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</si>
  <si>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</si>
  <si>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</si>
  <si>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</si>
  <si>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</si>
  <si>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</si>
  <si>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</si>
  <si>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</si>
  <si>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</si>
  <si>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</si>
  <si>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</si>
  <si>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</si>
  <si>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</si>
  <si>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</si>
  <si>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</si>
  <si>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</si>
  <si>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</si>
  <si>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</si>
  <si>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</si>
  <si>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</si>
  <si>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</si>
  <si>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</si>
  <si>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</si>
  <si>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</si>
  <si>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</si>
  <si>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</si>
  <si>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</si>
  <si>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</si>
  <si>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</si>
  <si>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</si>
  <si>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</si>
  <si>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</si>
  <si>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</si>
  <si>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</si>
  <si>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</si>
  <si>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</si>
  <si>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</si>
  <si>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</si>
  <si>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</si>
  <si>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</si>
  <si>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</si>
  <si>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</si>
  <si>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</si>
  <si>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</si>
  <si>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</si>
  <si>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</si>
  <si>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</si>
  <si>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</si>
  <si>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</si>
  <si>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</si>
  <si>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</si>
  <si>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</si>
  <si>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</si>
  <si>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</si>
  <si>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</si>
  <si>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</si>
  <si>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</si>
  <si>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</si>
  <si>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</si>
  <si>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</si>
  <si>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</si>
  <si>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</si>
  <si>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</si>
  <si>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</si>
  <si>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</si>
  <si>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</si>
  <si>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</si>
  <si>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</si>
  <si>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</si>
  <si>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</si>
  <si>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</si>
  <si>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</si>
  <si>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</si>
  <si>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</si>
  <si>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</si>
  <si>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</si>
  <si>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</si>
  <si>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</si>
  <si>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</si>
  <si>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</si>
  <si>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</si>
  <si>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</si>
  <si>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</si>
  <si>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</si>
  <si>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</si>
  <si>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</si>
  <si>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</si>
  <si>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</si>
  <si>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</si>
  <si>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</si>
  <si>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</si>
  <si>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</si>
  <si>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</si>
  <si>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</si>
  <si>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</si>
  <si>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</si>
  <si>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</si>
  <si>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</si>
  <si>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</si>
  <si>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</si>
  <si>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</si>
  <si>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</si>
  <si>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</si>
  <si>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</si>
  <si>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</si>
  <si>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</si>
  <si>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</si>
  <si>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</si>
  <si>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</si>
  <si>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</si>
  <si>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</si>
  <si>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</si>
  <si>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</si>
  <si>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</si>
  <si>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</si>
  <si>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</si>
  <si>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</si>
  <si>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</si>
  <si>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</si>
  <si>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</si>
  <si>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</si>
  <si>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</si>
  <si>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</si>
  <si>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</si>
  <si>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</si>
  <si>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</si>
  <si>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</si>
  <si>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</si>
  <si>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</si>
  <si>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</si>
  <si>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</si>
  <si>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</si>
  <si>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</si>
  <si>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</si>
  <si>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</si>
  <si>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</si>
  <si>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</si>
  <si>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</si>
  <si>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</si>
  <si>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</si>
  <si>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</si>
  <si>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</si>
  <si>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</si>
  <si>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</si>
  <si>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</si>
  <si>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</si>
  <si>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</si>
  <si>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</si>
  <si>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</si>
  <si>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</si>
  <si>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</si>
  <si>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</si>
  <si>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</si>
  <si>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</si>
  <si>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</si>
  <si>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</si>
  <si>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</si>
  <si>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</si>
  <si>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</si>
  <si>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</si>
  <si>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</si>
  <si>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</si>
  <si>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</si>
  <si>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</si>
  <si>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</si>
  <si>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</si>
  <si>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</si>
  <si>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</si>
  <si>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</si>
  <si>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</si>
  <si>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</si>
  <si>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</si>
  <si>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</si>
  <si>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</si>
  <si>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</si>
  <si>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</si>
  <si>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</si>
  <si>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</si>
  <si>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</si>
  <si>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</si>
  <si>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</si>
  <si>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</si>
  <si>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</si>
  <si>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</si>
  <si>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</si>
  <si>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</si>
  <si>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</si>
  <si>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</si>
  <si>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</si>
  <si>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</si>
  <si>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</si>
  <si>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</si>
  <si>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</si>
  <si>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</si>
  <si>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</si>
  <si>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</si>
  <si>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</si>
  <si>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</si>
  <si>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</si>
  <si>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</si>
  <si>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</si>
  <si>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</si>
  <si>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</si>
  <si>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</si>
  <si>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</si>
  <si>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</si>
  <si>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</si>
  <si>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</si>
  <si>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</si>
  <si>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</si>
  <si>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</si>
  <si>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</si>
  <si>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</si>
  <si>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</si>
  <si>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</si>
  <si>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</si>
  <si>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</si>
  <si>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</si>
  <si>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</si>
  <si>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</si>
  <si>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</si>
  <si>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</si>
  <si>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</si>
  <si>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</si>
  <si>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</si>
  <si>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</si>
  <si>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</si>
  <si>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</si>
  <si>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</si>
  <si>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</si>
  <si>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</si>
  <si>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</si>
  <si>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</si>
  <si>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</si>
  <si>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</si>
  <si>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</si>
  <si>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</si>
  <si>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</si>
  <si>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</si>
  <si>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</si>
  <si>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</si>
  <si>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</si>
  <si>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</si>
  <si>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</si>
  <si>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</si>
  <si>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</si>
  <si>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</si>
  <si>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</si>
  <si>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</si>
  <si>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</si>
  <si>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</si>
  <si>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</si>
  <si>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</si>
  <si>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</si>
  <si>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</si>
  <si>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</si>
  <si>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</si>
  <si>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</si>
  <si>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</si>
  <si>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</si>
  <si>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</si>
  <si>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</si>
  <si>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</si>
  <si>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</si>
  <si>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</si>
  <si>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</si>
  <si>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</si>
  <si>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</si>
  <si>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</si>
  <si>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</si>
  <si>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</si>
  <si>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</si>
  <si>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</si>
  <si>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</si>
  <si>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</si>
  <si>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</si>
  <si>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</si>
  <si>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</si>
  <si>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</si>
  <si>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</si>
  <si>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</si>
  <si>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</si>
  <si>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</si>
  <si>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</si>
  <si>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</si>
  <si>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</si>
  <si>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</si>
  <si>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</si>
  <si>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</si>
  <si>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</si>
  <si>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</si>
  <si>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</si>
  <si>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</si>
  <si>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</si>
  <si>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</si>
  <si>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</si>
  <si>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</si>
  <si>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</si>
  <si>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</si>
  <si>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</si>
  <si>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</si>
  <si>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</si>
  <si>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</si>
  <si>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</si>
  <si>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</si>
  <si>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</si>
  <si>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</si>
  <si>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</si>
  <si>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</si>
  <si>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</si>
  <si>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</si>
  <si>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</si>
  <si>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</si>
  <si>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</si>
  <si>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</si>
  <si>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</si>
  <si>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</si>
  <si>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</si>
  <si>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</si>
  <si>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</si>
  <si>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</si>
  <si>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</si>
  <si>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</si>
  <si>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</si>
  <si>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</si>
  <si>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</si>
  <si>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</si>
  <si>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</si>
  <si>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</si>
  <si>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</si>
  <si>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</si>
  <si>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</si>
  <si>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</si>
  <si>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</si>
  <si>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</si>
  <si>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</si>
  <si>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</si>
  <si>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</si>
  <si>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</si>
  <si>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</si>
  <si>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</si>
  <si>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</si>
  <si>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</si>
  <si>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</si>
  <si>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</si>
  <si>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</si>
  <si>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</si>
  <si>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</si>
  <si>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</si>
  <si>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</si>
  <si>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</si>
  <si>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</si>
  <si>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</si>
  <si>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</si>
  <si>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</si>
  <si>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</si>
  <si>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</si>
  <si>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</si>
  <si>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</si>
  <si>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</si>
  <si>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</si>
  <si>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</si>
  <si>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</si>
  <si>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</si>
  <si>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</si>
  <si>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</si>
  <si>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</si>
  <si>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</si>
  <si>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</si>
  <si>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</si>
  <si>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</si>
  <si>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</si>
  <si>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</si>
  <si>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</si>
  <si>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</si>
  <si>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</si>
  <si>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</si>
  <si>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</si>
  <si>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</si>
  <si>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</si>
  <si>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</si>
  <si>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</si>
  <si>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</si>
  <si>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</si>
  <si>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</si>
  <si>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</si>
  <si>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</si>
  <si>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</si>
  <si>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</si>
  <si>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</si>
  <si>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</si>
  <si>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</si>
  <si>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</si>
  <si>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</si>
  <si>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</si>
  <si>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</si>
  <si>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</si>
  <si>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</si>
  <si>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</si>
  <si>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</si>
  <si>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</si>
  <si>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</si>
  <si>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</si>
  <si>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</si>
  <si>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</si>
  <si>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</si>
  <si>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</si>
  <si>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</si>
  <si>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</si>
  <si>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</si>
  <si>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</si>
  <si>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</si>
  <si>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</si>
  <si>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</si>
  <si>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</si>
  <si>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</si>
  <si>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</si>
  <si>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</si>
  <si>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</si>
  <si>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</si>
  <si>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</si>
  <si>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</si>
  <si>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</si>
  <si>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</si>
  <si>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</si>
  <si>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</si>
  <si>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</si>
  <si>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</si>
  <si>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</si>
  <si>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</si>
  <si>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</si>
  <si>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</si>
  <si>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</si>
  <si>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</si>
  <si>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</si>
  <si>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</si>
  <si>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</si>
  <si>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</si>
  <si>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</si>
  <si>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</si>
  <si>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</si>
  <si>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</si>
  <si>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</si>
  <si>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</si>
  <si>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</si>
  <si>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</si>
  <si>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</si>
  <si>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</si>
  <si>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</si>
  <si>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</si>
  <si>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</si>
  <si>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</si>
  <si>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</si>
  <si>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</si>
  <si>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</si>
  <si>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</si>
  <si>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</si>
  <si>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</si>
  <si>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</si>
  <si>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</si>
  <si>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</si>
  <si>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</si>
  <si>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</si>
  <si>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</si>
  <si>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</si>
  <si>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</si>
  <si>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</si>
  <si>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</si>
  <si>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</si>
  <si>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</si>
  <si>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</si>
  <si>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</si>
  <si>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</si>
  <si>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</si>
  <si>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</si>
  <si>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</si>
  <si>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</si>
  <si>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</si>
  <si>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</si>
  <si>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</si>
  <si>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</si>
  <si>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</si>
  <si>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</si>
  <si>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</si>
  <si>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</si>
  <si>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</si>
  <si>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</si>
  <si>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</si>
  <si>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</si>
  <si>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</si>
  <si>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</si>
  <si>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</si>
  <si>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</si>
  <si>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</si>
  <si>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</si>
  <si>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</si>
  <si>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</si>
  <si>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</si>
  <si>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</si>
  <si>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</si>
  <si>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</si>
  <si>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</si>
  <si>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</si>
  <si>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</si>
  <si>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</si>
  <si>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</si>
  <si>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</si>
  <si>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</si>
  <si>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</si>
  <si>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</si>
  <si>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</si>
  <si>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</si>
  <si>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</si>
  <si>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</si>
  <si>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</si>
  <si>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</si>
  <si>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</si>
  <si>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</si>
  <si>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</si>
  <si>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</si>
  <si>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</si>
  <si>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</si>
  <si>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</si>
  <si>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</si>
  <si>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</si>
  <si>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</si>
  <si>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</si>
  <si>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</si>
  <si>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</si>
  <si>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</si>
  <si>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</si>
  <si>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</si>
  <si>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</si>
  <si>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</si>
  <si>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</si>
  <si>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</si>
  <si>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</si>
  <si>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</si>
  <si>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</si>
  <si>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</si>
  <si>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</si>
  <si>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</si>
  <si>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</si>
  <si>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</si>
  <si>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</si>
  <si>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</si>
  <si>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</si>
  <si>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</si>
  <si>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</si>
  <si>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</si>
  <si>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</si>
  <si>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</si>
  <si>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</si>
  <si>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</si>
  <si>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</si>
  <si>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</si>
  <si>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</si>
  <si>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</si>
  <si>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</si>
  <si>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</si>
  <si>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</si>
  <si>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</si>
  <si>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</si>
  <si>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</si>
  <si>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</si>
  <si>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</si>
  <si>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</si>
  <si>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</si>
  <si>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</si>
  <si>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</si>
  <si>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</si>
  <si>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</si>
  <si>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</si>
  <si>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</si>
  <si>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</si>
  <si>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</si>
  <si>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</si>
  <si>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</si>
  <si>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</si>
  <si>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</si>
  <si>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</si>
  <si>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</si>
  <si>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</si>
  <si>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</si>
  <si>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</si>
  <si>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</si>
  <si>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</si>
  <si>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</si>
  <si>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</si>
  <si>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</si>
  <si>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</si>
  <si>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</si>
  <si>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</si>
  <si>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</si>
  <si>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</si>
  <si>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</si>
  <si>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</si>
  <si>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</si>
  <si>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</si>
  <si>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</si>
  <si>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</si>
  <si>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</si>
  <si>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</si>
  <si>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</si>
  <si>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</si>
  <si>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</si>
  <si>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</si>
  <si>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</si>
  <si>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</si>
  <si>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</si>
  <si>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</si>
  <si>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</si>
  <si>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</si>
  <si>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</si>
  <si>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</si>
  <si>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</si>
  <si>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</si>
  <si>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</si>
  <si>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</si>
  <si>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</si>
  <si>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</si>
  <si>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</si>
  <si>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</si>
  <si>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</si>
  <si>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</si>
  <si>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</si>
  <si>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</si>
  <si>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</si>
  <si>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</si>
  <si>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</si>
  <si>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</si>
  <si>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</si>
  <si>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</si>
  <si>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</si>
  <si>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</si>
  <si>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</si>
  <si>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</si>
  <si>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</si>
  <si>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</si>
  <si>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</si>
  <si>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</si>
  <si>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</si>
  <si>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</si>
  <si>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</si>
  <si>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</si>
  <si>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</si>
  <si>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</si>
  <si>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</si>
  <si>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</si>
  <si>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</si>
  <si>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</si>
  <si>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</si>
  <si>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</si>
  <si>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</si>
  <si>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</si>
  <si>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</si>
  <si>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</si>
  <si>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</si>
  <si>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</si>
  <si>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</si>
  <si>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</si>
  <si>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</si>
  <si>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</si>
  <si>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</si>
  <si>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</si>
  <si>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</si>
  <si>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</si>
  <si>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</si>
  <si>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</si>
  <si>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</si>
  <si>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</si>
  <si>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</si>
  <si>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</si>
  <si>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</si>
  <si>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</si>
  <si>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</si>
  <si>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</si>
  <si>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</si>
  <si>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</si>
  <si>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</si>
  <si>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</si>
  <si>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</si>
  <si>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</si>
  <si>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</si>
  <si>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</si>
  <si>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</si>
  <si>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</si>
  <si>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</si>
  <si>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</si>
  <si>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</si>
  <si>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</si>
  <si>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</si>
  <si>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</si>
  <si>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</si>
  <si>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</si>
  <si>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</si>
  <si>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</si>
  <si>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</si>
  <si>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</si>
  <si>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</si>
  <si>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</si>
  <si>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</si>
  <si>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</si>
  <si>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</si>
  <si>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</si>
  <si>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</si>
  <si>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</si>
  <si>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</si>
  <si>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</si>
  <si>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</si>
  <si>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</si>
  <si>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</si>
  <si>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</si>
  <si>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</si>
  <si>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</si>
  <si>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</si>
  <si>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</si>
  <si>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</si>
  <si>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</si>
  <si>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</si>
  <si>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</si>
  <si>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</si>
  <si>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</si>
  <si>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</si>
  <si>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</si>
  <si>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</si>
  <si>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</si>
  <si>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</si>
  <si>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</si>
  <si>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</si>
  <si>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</si>
  <si>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</si>
  <si>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</si>
  <si>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</si>
  <si>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</si>
  <si>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</si>
  <si>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</si>
  <si>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</si>
  <si>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</si>
  <si>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</si>
  <si>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</si>
  <si>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</si>
  <si>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</si>
  <si>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</si>
  <si>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</si>
  <si>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</si>
  <si>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</si>
  <si>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</si>
  <si>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</si>
  <si>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</si>
  <si>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</si>
  <si>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</si>
  <si>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</si>
  <si>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</si>
  <si>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</si>
  <si>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</si>
  <si>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</si>
  <si>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</si>
  <si>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</si>
  <si>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</si>
  <si>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</si>
  <si>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</si>
  <si>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</si>
  <si>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</si>
  <si>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</si>
  <si>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</si>
  <si>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</si>
  <si>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</si>
  <si>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</si>
  <si>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</si>
  <si>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</si>
  <si>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</si>
  <si>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</si>
  <si>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</si>
  <si>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</si>
  <si>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</si>
  <si>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</si>
  <si>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</si>
  <si>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</si>
  <si>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</si>
  <si>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</si>
  <si>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</si>
  <si>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</si>
  <si>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</si>
  <si>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</si>
  <si>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</si>
  <si>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</si>
  <si>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</si>
  <si>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</si>
  <si>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</si>
  <si>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</si>
  <si>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</si>
  <si>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</si>
  <si>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</si>
  <si>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</si>
  <si>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</si>
  <si>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</si>
  <si>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</si>
  <si>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</si>
  <si>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</si>
  <si>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</si>
  <si>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</si>
  <si>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</si>
  <si>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</si>
  <si>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</si>
  <si>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</si>
  <si>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</si>
  <si>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</si>
  <si>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</si>
  <si>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</si>
  <si>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</si>
  <si>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</si>
  <si>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</si>
  <si>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</si>
  <si>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</si>
  <si>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</si>
  <si>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</si>
  <si>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</si>
  <si>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</si>
  <si>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</si>
  <si>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</si>
  <si>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</si>
  <si>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</si>
  <si>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</si>
  <si>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</si>
  <si>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</si>
  <si>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</si>
  <si>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</si>
  <si>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</si>
  <si>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</si>
  <si>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</si>
  <si>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</si>
  <si>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</si>
  <si>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</si>
  <si>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</si>
  <si>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</si>
  <si>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</si>
  <si>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</si>
  <si>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</si>
  <si>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</si>
  <si>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</si>
  <si>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</si>
  <si>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</si>
  <si>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</si>
  <si>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</si>
  <si>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</si>
  <si>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</si>
  <si>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</si>
  <si>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</si>
  <si>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</si>
  <si>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</si>
  <si>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</si>
  <si>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</si>
  <si>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</si>
  <si>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</si>
  <si>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</si>
  <si>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</si>
  <si>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</si>
  <si>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</si>
  <si>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</si>
  <si>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</si>
  <si>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</si>
  <si>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</si>
  <si>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</si>
  <si>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</si>
  <si>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</si>
  <si>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</si>
  <si>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</si>
  <si>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</si>
  <si>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</si>
  <si>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</si>
  <si>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</si>
  <si>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</si>
  <si>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</si>
  <si>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</si>
  <si>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</si>
  <si>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</si>
  <si>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</si>
  <si>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</si>
  <si>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</si>
  <si>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</si>
  <si>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</si>
  <si>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</si>
  <si>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</si>
  <si>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</si>
  <si>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</si>
  <si>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</si>
  <si>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</si>
  <si>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</si>
  <si>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</si>
  <si>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</si>
  <si>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</si>
  <si>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</si>
  <si>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</si>
  <si>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</si>
  <si>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</si>
  <si>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</si>
  <si>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</si>
  <si>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</si>
  <si>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</si>
  <si>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</si>
  <si>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</si>
  <si>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</si>
  <si>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</si>
  <si>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</si>
  <si>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</si>
  <si>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</si>
  <si>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</si>
  <si>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</si>
  <si>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</si>
  <si>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</si>
  <si>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</si>
  <si>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</si>
  <si>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</si>
  <si>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</si>
  <si>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</si>
  <si>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</si>
  <si>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</si>
  <si>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</si>
  <si>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</si>
  <si>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</si>
  <si>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</si>
  <si>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</si>
  <si>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</si>
  <si>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</si>
  <si>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</si>
  <si>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</si>
  <si>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</si>
  <si>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</si>
  <si>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</si>
  <si>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</si>
  <si>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</si>
  <si>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</si>
  <si>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</si>
  <si>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</si>
  <si>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</si>
  <si>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</si>
  <si>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</si>
  <si>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</si>
  <si>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</si>
  <si>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</si>
  <si>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</si>
  <si>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</si>
  <si>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</si>
  <si>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</si>
  <si>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</si>
  <si>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</si>
  <si>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</si>
  <si>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</si>
  <si>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</si>
  <si>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</si>
  <si>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</si>
  <si>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</si>
  <si>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</si>
  <si>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</si>
  <si>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</si>
  <si>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</si>
  <si>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</si>
  <si>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</si>
  <si>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</si>
  <si>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</si>
  <si>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</si>
  <si>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</si>
  <si>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</si>
  <si>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</si>
  <si>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</si>
  <si>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</si>
  <si>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</si>
  <si>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</si>
  <si>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</si>
  <si>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</si>
  <si>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</si>
  <si>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</si>
  <si>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</si>
  <si>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</si>
  <si>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</si>
  <si>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</si>
  <si>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</si>
  <si>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</si>
  <si>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</si>
  <si>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</si>
  <si>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</si>
  <si>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</si>
  <si>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</si>
  <si>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</si>
  <si>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</si>
  <si>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</si>
  <si>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</si>
  <si>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</si>
  <si>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</si>
  <si>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</si>
  <si>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</si>
  <si>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</si>
  <si>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</si>
  <si>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</si>
  <si>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</si>
  <si>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</si>
  <si>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</si>
  <si>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</si>
  <si>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</si>
  <si>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</si>
  <si>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</si>
  <si>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</si>
  <si>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</si>
  <si>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</si>
  <si>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</si>
  <si>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</si>
  <si>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</si>
  <si>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</si>
  <si>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</si>
  <si>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</si>
  <si>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</si>
  <si>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</si>
  <si>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</si>
  <si>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</si>
  <si>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</si>
  <si>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</si>
  <si>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</si>
  <si>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</si>
  <si>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</si>
  <si>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</si>
  <si>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</si>
  <si>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</si>
  <si>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</si>
  <si>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</si>
  <si>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</si>
  <si>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</si>
  <si>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</si>
  <si>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</si>
  <si>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</si>
  <si>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</si>
  <si>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</si>
  <si>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</si>
  <si>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</si>
  <si>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</si>
  <si>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</si>
  <si>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</si>
  <si>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</si>
  <si>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</si>
  <si>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</si>
  <si>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</si>
  <si>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</si>
  <si>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</si>
  <si>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</si>
  <si>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</si>
  <si>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</si>
  <si>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</si>
  <si>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</si>
  <si>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</si>
  <si>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</si>
  <si>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</si>
  <si>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</si>
  <si>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</si>
  <si>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</si>
  <si>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</si>
  <si>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</si>
  <si>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</si>
  <si>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</si>
  <si>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</si>
  <si>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</si>
  <si>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</si>
  <si>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</si>
  <si>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</si>
  <si>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</si>
  <si>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</si>
  <si>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</si>
  <si>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</si>
  <si>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</si>
  <si>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</si>
  <si>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</si>
  <si>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</si>
  <si>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</si>
  <si>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</si>
  <si>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</si>
  <si>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</si>
  <si>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</si>
  <si>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</si>
  <si>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</si>
  <si>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</si>
  <si>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</si>
  <si>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</si>
  <si>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</si>
  <si>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</si>
  <si>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</si>
  <si>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</si>
  <si>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</si>
  <si>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</si>
  <si>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</si>
  <si>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</si>
  <si>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</si>
  <si>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</si>
  <si>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</si>
  <si>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</si>
  <si>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</si>
  <si>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</si>
  <si>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</si>
  <si>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</si>
  <si>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</si>
  <si>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</si>
  <si>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</si>
  <si>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</si>
  <si>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</si>
  <si>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</si>
  <si>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</si>
  <si>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</si>
  <si>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</si>
  <si>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</si>
  <si>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</si>
  <si>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</si>
  <si>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</si>
  <si>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</si>
  <si>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</si>
  <si>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</si>
  <si>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</si>
  <si>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</si>
  <si>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</si>
  <si>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</si>
  <si>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</si>
  <si>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</si>
  <si>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</si>
  <si>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</si>
  <si>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</si>
  <si>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</si>
  <si>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</si>
  <si>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</si>
  <si>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</si>
  <si>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</si>
  <si>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</si>
  <si>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</si>
  <si>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</si>
  <si>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</si>
  <si>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</si>
  <si>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</si>
  <si>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</si>
  <si>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</si>
  <si>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</si>
  <si>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</si>
  <si>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</si>
  <si>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</si>
  <si>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</si>
  <si>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</si>
  <si>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</si>
  <si>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</si>
  <si>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</si>
  <si>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</si>
  <si>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</si>
  <si>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</si>
  <si>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</si>
  <si>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</si>
  <si>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</si>
  <si>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</si>
  <si>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</si>
  <si>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</si>
  <si>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</si>
  <si>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</si>
  <si>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</si>
  <si>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</si>
  <si>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</si>
  <si>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</si>
  <si>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</si>
  <si>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</si>
  <si>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</si>
  <si>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</si>
  <si>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</si>
  <si>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</si>
  <si>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</si>
  <si>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</si>
  <si>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</si>
  <si>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</si>
  <si>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</si>
  <si>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</si>
  <si>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</si>
  <si>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</si>
  <si>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</si>
  <si>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</si>
  <si>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</si>
  <si>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</si>
  <si>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</si>
  <si>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</si>
  <si>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</si>
  <si>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</si>
  <si>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</si>
  <si>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</si>
  <si>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</si>
  <si>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</si>
  <si>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</si>
  <si>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</si>
  <si>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</si>
  <si>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</si>
  <si>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</si>
  <si>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</si>
  <si>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</si>
  <si>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</si>
  <si>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</si>
  <si>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</si>
  <si>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</si>
  <si>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</si>
  <si>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</si>
  <si>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</si>
  <si>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</si>
  <si>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</si>
  <si>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</si>
  <si>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</si>
  <si>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</si>
  <si>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</si>
  <si>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</si>
  <si>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</si>
  <si>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</si>
  <si>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</si>
  <si>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</si>
  <si>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</si>
  <si>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</si>
  <si>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</si>
  <si>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</si>
  <si>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</si>
  <si>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</si>
  <si>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</si>
  <si>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</si>
  <si>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</si>
  <si>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</si>
  <si>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</si>
  <si>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</si>
  <si>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</si>
  <si>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</si>
  <si>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</si>
  <si>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</si>
  <si>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</si>
  <si>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</si>
  <si>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</si>
  <si>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</si>
  <si>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</si>
  <si>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</si>
  <si>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</si>
  <si>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</si>
  <si>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</si>
  <si>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</si>
  <si>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</si>
  <si>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</si>
  <si>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</si>
  <si>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</si>
  <si>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</si>
  <si>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</si>
  <si>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</si>
  <si>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</si>
  <si>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</si>
  <si>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</si>
  <si>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</si>
  <si>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</si>
  <si>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</si>
  <si>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</si>
  <si>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</si>
  <si>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</si>
  <si>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</si>
  <si>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</si>
  <si>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</si>
  <si>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</si>
  <si>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</si>
  <si>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</si>
  <si>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</si>
  <si>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</si>
  <si>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</si>
  <si>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</si>
  <si>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</si>
  <si>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</si>
  <si>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</si>
  <si>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</si>
  <si>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</si>
  <si>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</si>
  <si>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</si>
  <si>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</si>
  <si>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</si>
  <si>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</si>
  <si>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</si>
  <si>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</si>
  <si>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</si>
  <si>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</si>
  <si>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</si>
  <si>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</si>
  <si>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</si>
  <si>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</si>
  <si>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</si>
  <si>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</si>
  <si>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</si>
  <si>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</si>
  <si>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</si>
  <si>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</si>
  <si>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</si>
  <si>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</si>
  <si>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</si>
  <si>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</si>
  <si>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</si>
  <si>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</si>
  <si>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</si>
  <si>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</si>
  <si>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</si>
  <si>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</si>
  <si>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</si>
  <si>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</si>
  <si>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</si>
  <si>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</si>
  <si>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</si>
  <si>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</si>
  <si>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</si>
  <si>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</si>
  <si>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</si>
  <si>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</si>
  <si>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</si>
  <si>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</si>
  <si>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</si>
  <si>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</si>
  <si>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</si>
  <si>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</si>
  <si>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</si>
  <si>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</si>
  <si>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</si>
  <si>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</si>
  <si>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</si>
  <si>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</si>
  <si>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</si>
  <si>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</si>
  <si>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</si>
  <si>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</si>
  <si>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</si>
  <si>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</si>
  <si>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</si>
  <si>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</si>
  <si>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</si>
  <si>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</si>
  <si>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</si>
  <si>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</si>
  <si>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</si>
  <si>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</si>
  <si>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</si>
  <si>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</si>
  <si>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</si>
  <si>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</si>
  <si>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</si>
  <si>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</si>
  <si>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</si>
  <si>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</si>
  <si>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</si>
  <si>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</si>
  <si>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</si>
  <si>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</si>
  <si>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</si>
  <si>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</si>
  <si>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</si>
  <si>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</si>
  <si>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</si>
  <si>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</si>
  <si>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</si>
  <si>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</si>
  <si>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</si>
  <si>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</si>
  <si>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</si>
  <si>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</si>
  <si>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</si>
  <si>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</si>
  <si>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</si>
  <si>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</si>
  <si>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</si>
  <si>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</si>
  <si>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</si>
  <si>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</si>
  <si>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</si>
  <si>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</si>
  <si>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</si>
  <si>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</si>
  <si>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</si>
  <si>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</si>
  <si>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</si>
  <si>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</si>
  <si>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</si>
  <si>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</si>
  <si>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</si>
  <si>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</si>
  <si>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</si>
  <si>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</si>
  <si>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</si>
  <si>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</si>
  <si>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</si>
  <si>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</si>
  <si>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</si>
  <si>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</si>
  <si>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</si>
  <si>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</si>
  <si>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</si>
  <si>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</si>
  <si>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</si>
  <si>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</si>
  <si>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</si>
  <si>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</si>
  <si>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</si>
  <si>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</si>
  <si>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</si>
  <si>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</si>
  <si>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</si>
  <si>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</si>
  <si>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</si>
  <si>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</si>
  <si>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</si>
  <si>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</si>
  <si>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</si>
  <si>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</si>
  <si>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</si>
  <si>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</si>
  <si>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</si>
  <si>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</si>
  <si>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</si>
  <si>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</si>
  <si>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</si>
  <si>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</si>
  <si>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</si>
  <si>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</si>
  <si>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</si>
  <si>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</si>
  <si>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</si>
  <si>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</si>
  <si>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</si>
  <si>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</si>
  <si>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</si>
  <si>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</si>
  <si>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</si>
  <si>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</si>
  <si>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</si>
  <si>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</si>
  <si>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</si>
  <si>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</si>
  <si>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</si>
  <si>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</si>
  <si>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</si>
  <si>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</si>
  <si>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</si>
  <si>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</si>
  <si>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</si>
  <si>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</si>
  <si>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</si>
  <si>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</si>
  <si>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</si>
  <si>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</si>
  <si>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</si>
  <si>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</si>
  <si>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</si>
  <si>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</si>
  <si>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</si>
  <si>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</si>
  <si>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</si>
  <si>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</si>
  <si>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</si>
  <si>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</si>
  <si>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</si>
  <si>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</si>
  <si>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</si>
  <si>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</si>
  <si>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</si>
  <si>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</si>
  <si>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</si>
  <si>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</si>
  <si>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</si>
  <si>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</si>
  <si>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</si>
  <si>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</si>
  <si>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</si>
  <si>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</si>
  <si>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</si>
  <si>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</si>
  <si>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</si>
  <si>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</si>
  <si>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</si>
  <si>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</si>
  <si>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</si>
  <si>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</si>
  <si>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</si>
  <si>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</si>
  <si>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</si>
  <si>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</si>
  <si>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</si>
  <si>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</si>
  <si>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</si>
  <si>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</si>
  <si>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</si>
  <si>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</si>
  <si>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</si>
  <si>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</si>
  <si>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</si>
  <si>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</si>
  <si>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</si>
  <si>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</si>
  <si>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</si>
  <si>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</si>
  <si>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</si>
  <si>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</si>
  <si>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</si>
  <si>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</si>
  <si>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</si>
  <si>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</si>
  <si>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</si>
  <si>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</si>
  <si>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</si>
  <si>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</si>
  <si>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</si>
  <si>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</si>
  <si>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</si>
  <si>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</si>
  <si>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</si>
  <si>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</si>
  <si>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</si>
  <si>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</si>
  <si>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</si>
  <si>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</si>
  <si>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</si>
  <si>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</si>
  <si>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</si>
  <si>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</si>
  <si>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</si>
  <si>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</si>
  <si>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</si>
  <si>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</si>
  <si>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</si>
  <si>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</si>
  <si>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</si>
  <si>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</si>
  <si>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</si>
  <si>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</si>
  <si>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</si>
  <si>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</si>
  <si>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</si>
  <si>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</si>
  <si>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</si>
  <si>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</si>
  <si>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</si>
  <si>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</si>
  <si>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</si>
  <si>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</si>
  <si>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</si>
  <si>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</si>
  <si>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</si>
  <si>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</si>
  <si>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</si>
  <si>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</si>
  <si>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</si>
  <si>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</si>
  <si>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</si>
  <si>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</si>
  <si>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</si>
  <si>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</si>
  <si>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</si>
  <si>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</si>
  <si>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</si>
  <si>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</si>
  <si>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</si>
  <si>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</si>
  <si>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</si>
  <si>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</si>
  <si>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</si>
  <si>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</si>
  <si>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</si>
  <si>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</si>
  <si>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</si>
  <si>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</si>
  <si>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</si>
  <si>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</si>
  <si>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</si>
  <si>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</si>
  <si>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</si>
  <si>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</si>
  <si>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</si>
  <si>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</si>
  <si>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</si>
  <si>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</si>
  <si>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</si>
  <si>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</si>
  <si>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</si>
  <si>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</si>
  <si>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</si>
  <si>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</si>
  <si>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</si>
  <si>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</si>
  <si>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</si>
  <si>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</si>
  <si>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</si>
  <si>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</si>
  <si>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</si>
  <si>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</si>
  <si>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</si>
  <si>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</si>
  <si>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</si>
  <si>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</si>
  <si>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</si>
  <si>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</si>
  <si>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</si>
  <si>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</si>
  <si>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</si>
  <si>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</si>
  <si>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</si>
  <si>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</si>
  <si>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</si>
  <si>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</si>
  <si>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</si>
  <si>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</si>
  <si>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</si>
  <si>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</si>
  <si>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</si>
  <si>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</si>
  <si>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</si>
  <si>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</si>
  <si>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</si>
  <si>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</si>
  <si>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</si>
  <si>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</si>
  <si>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</si>
  <si>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</si>
  <si>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</si>
  <si>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</si>
  <si>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</si>
  <si>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</si>
  <si>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</si>
  <si>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</si>
  <si>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</si>
  <si>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</si>
  <si>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</si>
  <si>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</si>
  <si>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</si>
  <si>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</si>
  <si>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</si>
  <si>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</si>
  <si>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</si>
  <si>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</si>
  <si>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</si>
  <si>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</si>
  <si>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</si>
  <si>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</si>
  <si>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</si>
  <si>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</si>
  <si>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</si>
  <si>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</si>
  <si>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</si>
  <si>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</si>
  <si>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</si>
  <si>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</si>
  <si>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</si>
  <si>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</si>
  <si>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</si>
  <si>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</si>
  <si>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</si>
  <si>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</si>
  <si>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</si>
  <si>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</si>
  <si>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</si>
  <si>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</si>
  <si>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</si>
  <si>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</si>
  <si>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</si>
  <si>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</si>
  <si>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</si>
  <si>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</si>
  <si>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</si>
  <si>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</si>
  <si>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</si>
  <si>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</si>
  <si>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</si>
  <si>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</si>
  <si>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</si>
  <si>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</si>
  <si>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</si>
  <si>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</si>
  <si>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</si>
  <si>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</si>
  <si>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</si>
  <si>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</si>
  <si>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</si>
  <si>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</si>
  <si>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</si>
  <si>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</si>
  <si>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</si>
  <si>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</si>
  <si>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</si>
  <si>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</si>
  <si>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</si>
  <si>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</si>
  <si>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</si>
  <si>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</si>
  <si>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</si>
  <si>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</si>
  <si>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</si>
  <si>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</si>
  <si>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</si>
  <si>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</si>
  <si>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</si>
  <si>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</si>
  <si>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</si>
  <si>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</si>
  <si>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</si>
  <si>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</si>
  <si>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</si>
  <si>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</si>
  <si>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</si>
  <si>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</si>
  <si>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</si>
  <si>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</si>
  <si>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</si>
  <si>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</si>
  <si>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</si>
  <si>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</si>
  <si>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</si>
  <si>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</si>
  <si>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</si>
  <si>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</si>
  <si>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</si>
  <si>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</si>
  <si>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</si>
  <si>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</si>
  <si>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</si>
  <si>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</si>
  <si>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</si>
  <si>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</si>
  <si>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</si>
  <si>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</si>
  <si>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</si>
  <si>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</si>
  <si>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</si>
  <si>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</si>
  <si>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</si>
  <si>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</si>
  <si>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</si>
  <si>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</si>
  <si>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</si>
  <si>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</si>
  <si>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</si>
  <si>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</si>
  <si>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</si>
  <si>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</si>
  <si>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</si>
  <si>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</si>
  <si>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</si>
  <si>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</si>
  <si>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</si>
  <si>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</si>
  <si>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</si>
  <si>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</si>
  <si>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</si>
  <si>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</si>
  <si>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</si>
  <si>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</si>
  <si>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</si>
  <si>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</si>
  <si>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</si>
  <si>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</si>
  <si>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</si>
  <si>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</si>
  <si>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</si>
  <si>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</si>
  <si>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</si>
  <si>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</si>
  <si>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</si>
  <si>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</si>
  <si>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</si>
  <si>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</si>
  <si>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</si>
  <si>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</si>
  <si>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</si>
  <si>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</si>
  <si>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</si>
  <si>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</si>
  <si>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</si>
  <si>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</si>
  <si>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</si>
  <si>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</si>
  <si>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</si>
  <si>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</si>
  <si>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</si>
  <si>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</si>
  <si>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</si>
  <si>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</si>
  <si>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</si>
  <si>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</si>
  <si>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</si>
  <si>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</si>
  <si>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</si>
  <si>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</si>
  <si>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</si>
  <si>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</si>
  <si>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</si>
  <si>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</si>
  <si>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</si>
  <si>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</si>
  <si>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</si>
  <si>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</si>
  <si>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</si>
  <si>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</si>
  <si>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</si>
  <si>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</si>
  <si>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</si>
  <si>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</si>
  <si>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</si>
  <si>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</si>
  <si>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</si>
  <si>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</si>
  <si>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</si>
  <si>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</si>
  <si>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</si>
  <si>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</si>
  <si>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</si>
  <si>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</si>
  <si>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</si>
  <si>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</si>
  <si>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</si>
  <si>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</si>
  <si>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</si>
  <si>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</si>
  <si>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</si>
  <si>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</si>
  <si>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</si>
  <si>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</si>
  <si>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</si>
  <si>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</si>
  <si>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</si>
  <si>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</si>
  <si>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</si>
  <si>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</si>
  <si>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</si>
  <si>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</si>
  <si>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</si>
  <si>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</si>
  <si>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</si>
  <si>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</si>
  <si>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</si>
  <si>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</si>
  <si>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</si>
  <si>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</si>
  <si>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</si>
  <si>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</si>
  <si>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</si>
  <si>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</si>
  <si>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</si>
  <si>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</si>
  <si>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</si>
  <si>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</si>
  <si>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</si>
  <si>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</si>
  <si>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</si>
  <si>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</si>
  <si>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</si>
  <si>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</si>
  <si>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</si>
  <si>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</si>
  <si>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</si>
  <si>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</si>
  <si>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</si>
  <si>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</si>
  <si>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</si>
  <si>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</si>
  <si>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</si>
  <si>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</si>
  <si>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</si>
  <si>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</si>
  <si>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</si>
  <si>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</si>
  <si>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</si>
  <si>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</si>
  <si>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</si>
  <si>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</si>
  <si>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</si>
  <si>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</si>
  <si>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</si>
  <si>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</si>
  <si>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</si>
  <si>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</si>
  <si>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</si>
  <si>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</si>
  <si>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</si>
  <si>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</si>
  <si>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</si>
  <si>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</si>
  <si>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</si>
  <si>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</si>
  <si>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</si>
  <si>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</si>
  <si>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</si>
  <si>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</si>
  <si>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</si>
  <si>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</si>
  <si>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</si>
  <si>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</si>
  <si>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</si>
  <si>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</si>
  <si>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</si>
  <si>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</si>
  <si>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</si>
  <si>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</si>
  <si>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</si>
  <si>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</si>
  <si>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</si>
  <si>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</si>
  <si>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</si>
  <si>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</si>
  <si>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</si>
  <si>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</si>
  <si>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</si>
  <si>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</si>
  <si>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</si>
  <si>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</si>
  <si>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</si>
  <si>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</si>
  <si>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</si>
  <si>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</si>
  <si>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</si>
  <si>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</si>
  <si>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</si>
  <si>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</si>
  <si>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</si>
  <si>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</si>
  <si>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</si>
  <si>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</si>
  <si>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</si>
  <si>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</si>
  <si>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</si>
  <si>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</si>
  <si>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</si>
  <si>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</si>
  <si>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</si>
  <si>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</si>
  <si>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</si>
  <si>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</si>
  <si>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</si>
  <si>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</si>
  <si>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</si>
  <si>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</si>
  <si>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</si>
  <si>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</si>
  <si>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</si>
  <si>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</si>
  <si>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</si>
  <si>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</si>
  <si>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</si>
  <si>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</si>
  <si>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</si>
  <si>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</si>
  <si>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</si>
  <si>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</si>
  <si>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</si>
  <si>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</si>
  <si>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</si>
  <si>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</si>
  <si>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</si>
  <si>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</si>
  <si>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</si>
  <si>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</si>
  <si>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</si>
  <si>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</si>
  <si>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</si>
  <si>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</si>
  <si>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</si>
  <si>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</si>
  <si>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</si>
  <si>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</si>
  <si>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</si>
  <si>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</si>
  <si>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</si>
  <si>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</si>
  <si>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</si>
  <si>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</si>
  <si>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</si>
  <si>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</si>
  <si>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</si>
  <si>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</si>
  <si>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</si>
  <si>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</si>
  <si>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</si>
  <si>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</si>
  <si>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</si>
  <si>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</si>
  <si>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</si>
  <si>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</si>
  <si>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</si>
  <si>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</si>
  <si>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</si>
  <si>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</si>
  <si>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</si>
  <si>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</si>
  <si>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</si>
  <si>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</si>
  <si>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</si>
  <si>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</si>
  <si>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</si>
  <si>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</si>
  <si>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</si>
  <si>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</si>
  <si>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</si>
  <si>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</si>
  <si>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</si>
  <si>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</si>
  <si>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</si>
  <si>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</si>
  <si>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</si>
  <si>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</si>
  <si>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</si>
  <si>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</si>
  <si>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</si>
  <si>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</si>
  <si>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</si>
  <si>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</si>
  <si>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</si>
  <si>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</si>
  <si>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</si>
  <si>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</si>
  <si>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</si>
  <si>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</si>
  <si>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</si>
  <si>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</si>
  <si>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</si>
  <si>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</si>
  <si>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</si>
  <si>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</si>
  <si>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</si>
  <si>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</si>
  <si>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</si>
  <si>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</si>
  <si>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</si>
  <si>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</si>
  <si>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</si>
  <si>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</si>
  <si>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</si>
  <si>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</si>
  <si>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</si>
  <si>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</si>
  <si>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</si>
  <si>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</si>
  <si>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</si>
  <si>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</si>
  <si>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</si>
  <si>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</si>
  <si>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</si>
  <si>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</si>
  <si>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</si>
  <si>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</si>
  <si>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</si>
  <si>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</si>
  <si>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</si>
  <si>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</si>
  <si>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</si>
  <si>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</si>
  <si>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</si>
  <si>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</si>
  <si>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</si>
  <si>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</si>
  <si>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</si>
  <si>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</si>
  <si>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</si>
  <si>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</si>
  <si>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</si>
  <si>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</si>
  <si>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</si>
  <si>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</si>
  <si>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</si>
  <si>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</si>
  <si>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</si>
  <si>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</si>
  <si>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</si>
  <si>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</si>
  <si>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</si>
  <si>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</si>
  <si>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</si>
  <si>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</si>
  <si>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</si>
  <si>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</si>
  <si>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</si>
  <si>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</si>
  <si>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</si>
  <si>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</si>
  <si>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</si>
  <si>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</si>
  <si>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</si>
  <si>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</si>
  <si>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</si>
  <si>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</si>
  <si>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</si>
  <si>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</si>
  <si>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</si>
  <si>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</si>
  <si>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</si>
  <si>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</si>
  <si>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</si>
  <si>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</si>
  <si>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</si>
  <si>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</si>
  <si>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</si>
  <si>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</si>
  <si>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</si>
  <si>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</si>
  <si>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</si>
  <si>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</si>
  <si>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</si>
  <si>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</si>
  <si>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</si>
  <si>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</si>
  <si>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</si>
  <si>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</si>
  <si>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</si>
  <si>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</si>
  <si>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</si>
  <si>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</si>
  <si>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</si>
  <si>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</si>
  <si>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</si>
  <si>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</si>
  <si>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</si>
  <si>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</si>
  <si>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</si>
  <si>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</si>
  <si>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</si>
  <si>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</si>
  <si>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</si>
  <si>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</si>
  <si>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</si>
  <si>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</si>
  <si>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</si>
  <si>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</si>
  <si>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</si>
  <si>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</si>
  <si>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</si>
  <si>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</si>
  <si>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</si>
  <si>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</si>
  <si>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</si>
  <si>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</si>
  <si>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</si>
  <si>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</si>
  <si>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</si>
  <si>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</si>
  <si>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</si>
  <si>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</si>
  <si>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</si>
  <si>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</si>
  <si>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</si>
  <si>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</si>
  <si>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</si>
  <si>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</si>
  <si>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</si>
  <si>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</si>
  <si>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</si>
  <si>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</si>
  <si>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</si>
  <si>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</si>
  <si>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</si>
  <si>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</si>
  <si>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</si>
  <si>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</si>
  <si>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</si>
  <si>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</si>
  <si>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</si>
  <si>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</si>
  <si>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</si>
  <si>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</si>
  <si>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</si>
  <si>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</si>
  <si>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</si>
  <si>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</si>
  <si>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</si>
  <si>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</si>
  <si>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</si>
  <si>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</si>
  <si>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</si>
  <si>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</si>
  <si>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</si>
  <si>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</si>
  <si>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</si>
  <si>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</si>
  <si>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</si>
  <si>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</si>
  <si>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</si>
  <si>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</si>
  <si>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</si>
  <si>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</si>
  <si>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</si>
  <si>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</si>
  <si>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</si>
  <si>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</si>
  <si>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</si>
  <si>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</si>
  <si>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</si>
  <si>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</si>
  <si>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</si>
  <si>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</si>
  <si>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</si>
  <si>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</si>
  <si>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</si>
  <si>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</si>
  <si>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</si>
  <si>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</si>
  <si>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</si>
  <si>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</si>
  <si>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</si>
  <si>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</si>
  <si>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</si>
  <si>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</si>
  <si>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</si>
  <si>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</si>
  <si>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</si>
  <si>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</si>
  <si>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</si>
  <si>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</si>
  <si>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</si>
  <si>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</si>
  <si>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</si>
  <si>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</si>
  <si>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</si>
  <si>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</si>
  <si>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</si>
  <si>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</si>
  <si>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</si>
  <si>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</si>
  <si>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</si>
  <si>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</si>
  <si>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</si>
  <si>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</si>
  <si>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</si>
  <si>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</si>
  <si>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</si>
  <si>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</si>
  <si>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</si>
  <si>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</si>
  <si>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</si>
  <si>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</si>
  <si>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</si>
  <si>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</si>
  <si>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</si>
  <si>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</si>
  <si>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</si>
  <si>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</si>
  <si>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</si>
  <si>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</si>
  <si>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</si>
  <si>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</si>
  <si>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</si>
  <si>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</si>
  <si>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</si>
  <si>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</si>
  <si>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</si>
  <si>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</si>
  <si>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</si>
  <si>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</si>
  <si>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</si>
  <si>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</si>
  <si>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</si>
  <si>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</si>
  <si>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</si>
  <si>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</si>
  <si>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</si>
  <si>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</si>
  <si>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</si>
  <si>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</si>
  <si>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</si>
  <si>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</si>
  <si>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</si>
  <si>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</si>
  <si>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</si>
  <si>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</si>
  <si>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</si>
  <si>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</si>
  <si>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</si>
  <si>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</si>
  <si>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</si>
  <si>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</si>
  <si>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</si>
  <si>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</si>
  <si>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</si>
  <si>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</si>
  <si>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</si>
  <si>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</si>
  <si>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</si>
  <si>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</si>
  <si>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</si>
  <si>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</si>
  <si>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</si>
  <si>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</si>
  <si>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</si>
  <si>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</si>
  <si>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</si>
  <si>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</si>
  <si>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</si>
  <si>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</si>
  <si>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</si>
  <si>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</si>
  <si>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</si>
  <si>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</si>
  <si>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</si>
  <si>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</si>
  <si>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</si>
  <si>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</si>
  <si>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</si>
  <si>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</si>
  <si>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</si>
  <si>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</si>
  <si>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</si>
  <si>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</si>
  <si>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</si>
  <si>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</si>
  <si>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</si>
  <si>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</si>
  <si>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</si>
  <si>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</si>
  <si>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</si>
  <si>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</si>
  <si>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</si>
  <si>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</si>
  <si>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</si>
  <si>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</si>
  <si>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</si>
  <si>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</si>
  <si>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</si>
  <si>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</si>
  <si>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</si>
  <si>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</si>
  <si>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</si>
  <si>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</si>
  <si>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</si>
  <si>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</si>
  <si>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</si>
  <si>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</si>
  <si>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</si>
  <si>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</si>
  <si>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</si>
  <si>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</si>
  <si>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</si>
  <si>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</si>
  <si>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</si>
  <si>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</si>
  <si>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</si>
  <si>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</si>
  <si>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</si>
  <si>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</si>
  <si>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</si>
  <si>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</si>
  <si>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</si>
  <si>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</si>
  <si>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</si>
  <si>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</si>
  <si>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</si>
  <si>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</si>
  <si>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</si>
  <si>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</si>
  <si>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</si>
  <si>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</si>
  <si>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</si>
  <si>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</si>
  <si>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</si>
  <si>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</si>
  <si>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</si>
  <si>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</si>
  <si>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</si>
  <si>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</si>
  <si>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</si>
  <si>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</si>
  <si>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</si>
  <si>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</si>
  <si>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</si>
  <si>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</si>
  <si>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</si>
  <si>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</si>
  <si>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</si>
  <si>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</si>
  <si>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</si>
  <si>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</si>
  <si>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</si>
  <si>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</si>
  <si>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</si>
  <si>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</si>
  <si>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</si>
  <si>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</si>
  <si>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</si>
  <si>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</si>
  <si>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</si>
  <si>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</si>
  <si>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</si>
  <si>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</si>
  <si>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</si>
  <si>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</si>
  <si>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</si>
  <si>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</si>
  <si>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</si>
  <si>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</si>
  <si>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</si>
  <si>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</si>
  <si>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</si>
  <si>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</si>
  <si>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</si>
  <si>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</si>
  <si>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</si>
  <si>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</si>
  <si>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</si>
  <si>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</si>
  <si>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</si>
  <si>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</si>
  <si>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</si>
  <si>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</si>
  <si>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</si>
  <si>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</si>
  <si>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</si>
  <si>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</si>
  <si>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</si>
  <si>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</si>
  <si>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</si>
  <si>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</si>
  <si>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</si>
  <si>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</si>
  <si>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</si>
  <si>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</si>
  <si>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</si>
  <si>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</si>
  <si>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</si>
  <si>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</si>
  <si>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</si>
  <si>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</si>
  <si>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</si>
  <si>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</si>
  <si>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</si>
  <si>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</si>
  <si>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</si>
  <si>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</si>
  <si>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</si>
  <si>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</si>
  <si>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</si>
  <si>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</si>
  <si>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</si>
  <si>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</si>
  <si>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</si>
  <si>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</si>
  <si>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</si>
  <si>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</si>
  <si>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</si>
  <si>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</si>
  <si>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</si>
  <si>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</si>
  <si>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</si>
  <si>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</si>
  <si>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</si>
  <si>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</si>
  <si>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</si>
  <si>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</si>
  <si>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</si>
  <si>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</si>
  <si>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</si>
  <si>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</si>
  <si>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</si>
  <si>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</si>
  <si>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</si>
  <si>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</si>
  <si>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</si>
  <si>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</si>
  <si>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</si>
  <si>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</si>
  <si>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</si>
  <si>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</si>
  <si>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</si>
  <si>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</si>
  <si>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</si>
  <si>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</si>
  <si>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</si>
  <si>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</si>
  <si>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</si>
  <si>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</si>
  <si>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</si>
  <si>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</si>
  <si>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</si>
  <si>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</si>
  <si>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</si>
  <si>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</si>
  <si>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</si>
  <si>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</si>
  <si>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</si>
  <si>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</si>
  <si>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</si>
  <si>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</si>
  <si>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</si>
  <si>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</si>
  <si>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</si>
  <si>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</si>
  <si>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</si>
  <si>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</si>
  <si>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</si>
  <si>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</si>
  <si>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</si>
  <si>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</si>
  <si>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</si>
  <si>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</si>
  <si>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</si>
  <si>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</si>
  <si>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</si>
  <si>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</si>
  <si>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</si>
  <si>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</si>
  <si>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</si>
  <si>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</si>
  <si>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</si>
  <si>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</si>
  <si>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</si>
  <si>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</si>
  <si>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</si>
  <si>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</si>
  <si>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</si>
  <si>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</si>
  <si>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</si>
  <si>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</si>
  <si>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</si>
  <si>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</si>
  <si>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</si>
  <si>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</si>
  <si>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</si>
  <si>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</si>
  <si>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</si>
  <si>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</si>
  <si>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</si>
  <si>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</si>
  <si>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</si>
  <si>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</si>
  <si>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</si>
  <si>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</si>
  <si>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</si>
  <si>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</si>
  <si>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</si>
  <si>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</si>
  <si>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</si>
  <si>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</si>
  <si>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</si>
  <si>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</si>
  <si>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</si>
  <si>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</si>
  <si>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</si>
  <si>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</si>
  <si>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</si>
  <si>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</si>
  <si>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</si>
  <si>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</si>
  <si>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</si>
  <si>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</si>
  <si>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</si>
  <si>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</si>
  <si>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</si>
  <si>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</si>
  <si>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</si>
  <si>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</si>
  <si>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</si>
  <si>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</si>
  <si>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</si>
  <si>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</si>
  <si>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</si>
  <si>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</si>
  <si>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</si>
  <si>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</si>
  <si>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</si>
  <si>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</si>
  <si>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</si>
  <si>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</si>
  <si>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</si>
  <si>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</si>
  <si>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</si>
  <si>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</si>
  <si>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</si>
  <si>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</si>
  <si>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</si>
  <si>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</si>
  <si>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</si>
  <si>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</si>
  <si>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</si>
  <si>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</si>
  <si>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</si>
  <si>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</si>
  <si>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</si>
  <si>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</si>
  <si>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</si>
  <si>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</si>
  <si>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</si>
  <si>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</si>
  <si>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</si>
  <si>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</si>
  <si>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</si>
  <si>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</si>
  <si>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</si>
  <si>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</si>
  <si>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</si>
  <si>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</si>
  <si>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</si>
  <si>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</si>
  <si>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</si>
  <si>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</si>
  <si>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</si>
  <si>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</si>
  <si>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</si>
  <si>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</si>
  <si>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</si>
  <si>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</si>
  <si>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</si>
  <si>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</si>
  <si>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</si>
  <si>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</si>
  <si>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</si>
  <si>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</si>
  <si>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</si>
  <si>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</si>
  <si>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</si>
  <si>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</si>
  <si>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</si>
  <si>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</si>
  <si>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</si>
  <si>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</si>
  <si>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</si>
  <si>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</si>
  <si>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</si>
  <si>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</si>
  <si>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</si>
  <si>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</si>
  <si>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</si>
  <si>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</si>
  <si>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</si>
  <si>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</si>
  <si>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</si>
  <si>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</si>
  <si>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</si>
  <si>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</si>
  <si>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</si>
  <si>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</si>
  <si>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</si>
  <si>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</si>
  <si>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</si>
  <si>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</si>
  <si>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</si>
  <si>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</si>
  <si>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</si>
  <si>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</si>
  <si>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</si>
  <si>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</si>
  <si>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</si>
  <si>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</si>
  <si>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</si>
  <si>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</si>
  <si>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</si>
  <si>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</si>
  <si>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</si>
  <si>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</si>
  <si>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</si>
  <si>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</si>
  <si>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</si>
  <si>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</si>
  <si>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</si>
  <si>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</si>
  <si>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</si>
  <si>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</si>
  <si>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</si>
  <si>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</si>
  <si>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</si>
  <si>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</si>
  <si>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</si>
  <si>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</si>
  <si>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</si>
  <si>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</si>
  <si>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</si>
  <si>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</si>
  <si>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</si>
  <si>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</si>
  <si>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</si>
  <si>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</si>
  <si>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</si>
  <si>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</si>
  <si>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</si>
  <si>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</si>
  <si>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</si>
  <si>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</si>
  <si>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</si>
  <si>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</si>
  <si>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</si>
  <si>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</si>
  <si>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</si>
  <si>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</si>
  <si>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</si>
  <si>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</si>
  <si>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</si>
  <si>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</si>
  <si>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</si>
  <si>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</si>
  <si>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</si>
  <si>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</si>
  <si>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</si>
  <si>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</si>
  <si>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</si>
  <si>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</si>
  <si>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</si>
  <si>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</si>
  <si>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</si>
  <si>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</si>
  <si>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</si>
  <si>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</si>
  <si>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</si>
  <si>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</si>
  <si>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</si>
  <si>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</si>
  <si>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</si>
  <si>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</si>
  <si>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</si>
  <si>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</si>
  <si>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</si>
  <si>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</si>
  <si>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</si>
  <si>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</si>
  <si>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</si>
  <si>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</si>
  <si>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</si>
  <si>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</si>
  <si>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</si>
  <si>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</si>
  <si>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</si>
  <si>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</si>
  <si>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</si>
  <si>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</si>
  <si>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</si>
  <si>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</si>
  <si>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</si>
  <si>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</si>
  <si>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</si>
  <si>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</si>
  <si>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</si>
  <si>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</si>
  <si>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</si>
  <si>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</si>
  <si>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</si>
  <si>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</si>
  <si>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</si>
  <si>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</si>
  <si>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</si>
  <si>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</si>
  <si>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</si>
  <si>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</si>
  <si>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</si>
  <si>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</si>
  <si>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</si>
  <si>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</si>
  <si>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</si>
  <si>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</si>
  <si>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</si>
  <si>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</si>
  <si>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</si>
  <si>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</si>
  <si>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</si>
  <si>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</si>
  <si>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</si>
  <si>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</si>
  <si>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</si>
  <si>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</si>
  <si>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</si>
  <si>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</si>
  <si>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</si>
  <si>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</si>
  <si>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</si>
  <si>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</si>
  <si>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</si>
  <si>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</si>
  <si>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</si>
  <si>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</si>
  <si>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</si>
  <si>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</si>
  <si>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</si>
  <si>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</si>
  <si>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</si>
  <si>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</si>
  <si>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</si>
  <si>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</si>
  <si>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</si>
  <si>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</si>
  <si>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</si>
  <si>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</si>
  <si>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</si>
  <si>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</si>
  <si>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</si>
  <si>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</si>
  <si>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</si>
  <si>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</si>
  <si>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</si>
  <si>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</si>
  <si>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</si>
  <si>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</si>
  <si>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</si>
  <si>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</si>
  <si>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</si>
  <si>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</si>
  <si>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</si>
  <si>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</si>
  <si>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</si>
  <si>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</si>
  <si>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</si>
  <si>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</si>
  <si>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</si>
  <si>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</si>
  <si>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</si>
  <si>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</si>
  <si>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</si>
  <si>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</si>
  <si>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</si>
  <si>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</si>
  <si>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</si>
  <si>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</si>
  <si>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</si>
  <si>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</si>
  <si>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</si>
  <si>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</si>
  <si>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</si>
  <si>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</si>
  <si>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</si>
  <si>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</si>
  <si>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</si>
  <si>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</si>
  <si>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</si>
  <si>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</si>
  <si>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</si>
  <si>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</si>
  <si>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</si>
  <si>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</si>
  <si>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</si>
  <si>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</si>
  <si>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</si>
  <si>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</si>
  <si>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</si>
  <si>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</si>
  <si>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</si>
  <si>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</si>
  <si>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</si>
  <si>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</si>
  <si>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</si>
  <si>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</si>
  <si>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</si>
  <si>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</si>
  <si>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</si>
  <si>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</si>
  <si>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</si>
  <si>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</si>
  <si>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</si>
  <si>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</si>
  <si>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</si>
  <si>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</si>
  <si>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</si>
  <si>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</si>
  <si>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</si>
  <si>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</si>
  <si>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</si>
  <si>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</si>
  <si>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</si>
  <si>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</si>
  <si>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</si>
  <si>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</si>
  <si>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</si>
  <si>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</si>
  <si>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</si>
  <si>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</si>
  <si>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</si>
  <si>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</si>
  <si>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</si>
  <si>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</si>
  <si>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</si>
  <si>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</si>
  <si>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</si>
  <si>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</si>
  <si>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</si>
  <si>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</si>
  <si>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</si>
  <si>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</si>
  <si>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</si>
  <si>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</si>
  <si>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</si>
  <si>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</si>
  <si>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</si>
  <si>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</si>
  <si>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</si>
  <si>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</si>
  <si>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</si>
  <si>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</si>
  <si>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</si>
  <si>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</si>
  <si>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</si>
  <si>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</si>
  <si>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</si>
  <si>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</si>
  <si>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</si>
  <si>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</si>
  <si>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</si>
  <si>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</si>
  <si>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</si>
  <si>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</si>
  <si>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</si>
  <si>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</si>
  <si>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</si>
  <si>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</si>
  <si>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</si>
  <si>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</si>
  <si>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</si>
  <si>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</si>
  <si>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</si>
  <si>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</si>
  <si>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</si>
  <si>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</si>
  <si>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</si>
  <si>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</si>
  <si>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</si>
  <si>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</si>
  <si>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</si>
  <si>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</si>
  <si>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</si>
  <si>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</si>
  <si>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</si>
  <si>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</si>
  <si>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</si>
  <si>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</si>
  <si>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</si>
  <si>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</si>
  <si>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</si>
  <si>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</si>
  <si>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</si>
  <si>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</si>
  <si>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</si>
  <si>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</si>
  <si>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</si>
  <si>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</si>
  <si>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</si>
  <si>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</si>
  <si>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</si>
  <si>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</si>
  <si>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</si>
  <si>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</si>
  <si>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</si>
  <si>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</si>
  <si>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</si>
  <si>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</si>
  <si>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</si>
  <si>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</si>
  <si>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</si>
  <si>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</si>
  <si>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</si>
  <si>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</si>
  <si>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</si>
  <si>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</si>
  <si>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</si>
  <si>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</si>
  <si>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</si>
  <si>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</si>
  <si>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</si>
  <si>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</si>
  <si>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</si>
  <si>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</si>
  <si>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</si>
  <si>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</si>
  <si>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</si>
  <si>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</si>
  <si>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</si>
  <si>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</si>
  <si>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</si>
  <si>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</si>
  <si>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</si>
  <si>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</si>
  <si>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</si>
  <si>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</si>
  <si>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</si>
  <si>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</si>
  <si>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</si>
  <si>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</si>
  <si>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</si>
  <si>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</si>
  <si>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</si>
  <si>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</si>
  <si>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</si>
  <si>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</si>
  <si>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</si>
  <si>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</si>
  <si>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</si>
  <si>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</si>
  <si>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</si>
  <si>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</si>
  <si>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</si>
  <si>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</si>
  <si>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</si>
  <si>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</si>
  <si>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</si>
  <si>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</si>
  <si>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</si>
  <si>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</si>
  <si>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</si>
  <si>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</si>
  <si>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</si>
  <si>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</si>
  <si>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</si>
  <si>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</si>
  <si>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</si>
  <si>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</si>
  <si>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</si>
  <si>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</si>
  <si>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</si>
  <si>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</si>
  <si>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</si>
  <si>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</si>
  <si>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</si>
  <si>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</si>
  <si>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</si>
  <si>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</si>
  <si>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</si>
  <si>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</si>
  <si>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</si>
  <si>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</si>
  <si>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</si>
  <si>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</si>
  <si>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</si>
  <si>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</si>
  <si>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</si>
  <si>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</si>
  <si>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</si>
  <si>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</si>
  <si>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</si>
  <si>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</si>
  <si>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</si>
  <si>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</si>
  <si>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</si>
  <si>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</si>
  <si>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</si>
  <si>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</si>
  <si>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</si>
  <si>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</si>
  <si>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</si>
  <si>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</si>
  <si>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</si>
  <si>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</si>
  <si>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</si>
  <si>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</si>
  <si>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</si>
  <si>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</si>
  <si>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</si>
  <si>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</si>
  <si>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</si>
  <si>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</si>
  <si>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</si>
  <si>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</si>
  <si>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</si>
  <si>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</si>
  <si>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</si>
  <si>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</si>
  <si>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</si>
  <si>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</si>
  <si>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</si>
  <si>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</si>
  <si>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</si>
  <si>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</si>
  <si>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</si>
  <si>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</si>
  <si>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</si>
  <si>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</si>
  <si>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</si>
  <si>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</si>
  <si>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</si>
  <si>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</si>
  <si>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</si>
  <si>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</si>
  <si>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</si>
  <si>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</si>
  <si>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</si>
  <si>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</si>
  <si>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</si>
  <si>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</si>
  <si>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</si>
  <si>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</si>
  <si>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</si>
  <si>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</si>
  <si>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</si>
  <si>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</si>
  <si>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</si>
  <si>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</si>
  <si>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</si>
  <si>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</si>
  <si>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</si>
  <si>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</si>
  <si>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</si>
  <si>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</si>
  <si>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</si>
  <si>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</si>
  <si>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</si>
  <si>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</si>
  <si>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</si>
  <si>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</si>
  <si>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</si>
  <si>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</si>
  <si>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</si>
  <si>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</si>
  <si>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</si>
  <si>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</si>
  <si>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</si>
  <si>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</si>
  <si>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</si>
  <si>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</si>
  <si>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</si>
  <si>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</si>
  <si>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</si>
  <si>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</si>
  <si>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</si>
  <si>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</si>
  <si>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</si>
  <si>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</si>
  <si>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</si>
  <si>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</si>
  <si>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</si>
  <si>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</si>
  <si>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</si>
  <si>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</si>
  <si>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</si>
  <si>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</si>
  <si>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</si>
  <si>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</si>
  <si>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</si>
  <si>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</si>
  <si>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</si>
  <si>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</si>
  <si>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</si>
  <si>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</si>
  <si>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</si>
  <si>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</si>
  <si>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</si>
  <si>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</si>
  <si>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</si>
  <si>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</si>
  <si>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</si>
  <si>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</si>
  <si>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</si>
  <si>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</si>
  <si>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</si>
  <si>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</si>
  <si>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</si>
  <si>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</si>
  <si>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</si>
  <si>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</si>
  <si>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</si>
  <si>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</si>
  <si>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</si>
  <si>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</si>
  <si>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</si>
  <si>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</si>
  <si>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</si>
  <si>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</si>
  <si>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</si>
  <si>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</si>
  <si>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</si>
  <si>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</si>
  <si>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</si>
  <si>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</si>
  <si>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</si>
  <si>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</si>
  <si>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</si>
  <si>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</si>
  <si>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</si>
  <si>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</si>
  <si>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</si>
  <si>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</si>
  <si>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</si>
  <si>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</si>
  <si>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</si>
  <si>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</si>
  <si>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</si>
  <si>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</si>
  <si>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</si>
  <si>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</si>
  <si>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</si>
  <si>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</si>
  <si>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</si>
  <si>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</si>
  <si>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</si>
  <si>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</si>
  <si>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</si>
  <si>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</si>
  <si>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</si>
  <si>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</si>
  <si>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</si>
  <si>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</si>
  <si>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</si>
  <si>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</si>
  <si>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</si>
  <si>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</si>
  <si>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</si>
  <si>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</si>
  <si>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</si>
  <si>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</si>
  <si>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</si>
  <si>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</si>
  <si>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</si>
  <si>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</si>
  <si>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</si>
  <si>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</si>
  <si>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</si>
  <si>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</si>
  <si>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</si>
  <si>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</si>
  <si>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</si>
  <si>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</si>
  <si>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</si>
  <si>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</si>
  <si>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</si>
  <si>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</si>
  <si>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</si>
  <si>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</si>
  <si>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</si>
  <si>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</si>
  <si>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</si>
  <si>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</si>
  <si>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</si>
  <si>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</si>
  <si>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</si>
  <si>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</si>
  <si>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</si>
  <si>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</si>
  <si>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</si>
  <si>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</si>
  <si>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</si>
  <si>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</si>
  <si>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</si>
  <si>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</si>
  <si>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</si>
  <si>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</si>
  <si>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</si>
  <si>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</si>
  <si>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</si>
  <si>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</si>
  <si>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</si>
  <si>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</si>
  <si>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</si>
  <si>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</si>
  <si>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</si>
  <si>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</si>
  <si>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</si>
  <si>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</si>
  <si>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</si>
  <si>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</si>
  <si>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</si>
  <si>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</si>
  <si>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</si>
  <si>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</si>
  <si>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</si>
  <si>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</si>
  <si>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</si>
  <si>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</si>
  <si>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</si>
  <si>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</si>
  <si>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</si>
  <si>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</si>
  <si>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</si>
  <si>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</si>
  <si>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</si>
  <si>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</si>
  <si>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</si>
  <si>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</si>
  <si>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</si>
  <si>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</si>
  <si>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</si>
  <si>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</si>
  <si>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</si>
  <si>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</si>
  <si>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</si>
  <si>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</si>
  <si>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</si>
  <si>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</si>
  <si>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</si>
  <si>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</si>
  <si>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</si>
  <si>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</si>
  <si>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</si>
  <si>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</si>
  <si>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</si>
  <si>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</si>
  <si>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</si>
  <si>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</si>
  <si>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</si>
  <si>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</si>
  <si>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</si>
  <si>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</si>
  <si>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</si>
  <si>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</si>
  <si>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</si>
  <si>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</si>
  <si>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</si>
  <si>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</si>
  <si>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</si>
  <si>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</si>
  <si>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</si>
  <si>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</si>
  <si>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</si>
  <si>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</si>
  <si>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</si>
  <si>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</si>
  <si>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</si>
  <si>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</si>
  <si>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</si>
  <si>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</si>
  <si>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</si>
  <si>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</si>
  <si>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</si>
  <si>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</si>
  <si>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</si>
  <si>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</si>
  <si>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</si>
  <si>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</si>
  <si>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</si>
  <si>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</si>
  <si>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</si>
  <si>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</si>
  <si>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</si>
  <si>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</si>
  <si>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</si>
  <si>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</si>
  <si>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</si>
  <si>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</si>
  <si>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</si>
  <si>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</si>
  <si>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</si>
  <si>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</si>
  <si>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</si>
  <si>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</si>
  <si>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</si>
  <si>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</si>
  <si>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</si>
  <si>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</si>
  <si>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</si>
  <si>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</si>
  <si>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</si>
  <si>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</si>
  <si>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</si>
  <si>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</si>
  <si>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</si>
  <si>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</si>
  <si>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</si>
  <si>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</si>
  <si>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</si>
  <si>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</si>
  <si>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</si>
  <si>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</si>
  <si>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</si>
  <si>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</si>
  <si>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</si>
  <si>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</si>
  <si>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</si>
  <si>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</si>
  <si>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</si>
  <si>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</si>
  <si>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</si>
  <si>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</si>
  <si>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</si>
  <si>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</si>
  <si>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</si>
  <si>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</si>
  <si>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</si>
  <si>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</si>
  <si>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</si>
  <si>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</si>
  <si>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</si>
  <si>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</si>
  <si>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</si>
  <si>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</si>
  <si>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</si>
  <si>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</si>
  <si>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</si>
  <si>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</si>
  <si>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</si>
  <si>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</si>
  <si>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</si>
  <si>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</si>
  <si>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</si>
  <si>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</si>
  <si>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</si>
  <si>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</si>
  <si>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</si>
  <si>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</si>
  <si>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</si>
  <si>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</si>
  <si>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</si>
  <si>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</si>
  <si>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</si>
  <si>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</si>
  <si>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</si>
  <si>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</si>
  <si>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</si>
  <si>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</si>
  <si>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</si>
  <si>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</si>
  <si>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</si>
  <si>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</si>
  <si>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</si>
  <si>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</si>
  <si>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</si>
  <si>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</si>
  <si>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</si>
  <si>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</si>
  <si>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</si>
  <si>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</si>
  <si>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</si>
  <si>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</si>
  <si>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</si>
  <si>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</si>
  <si>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</si>
  <si>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</si>
  <si>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</si>
  <si>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</si>
  <si>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</si>
  <si>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</si>
  <si>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</si>
  <si>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</si>
  <si>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</si>
  <si>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</si>
  <si>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</si>
  <si>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</si>
  <si>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</si>
  <si>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</si>
  <si>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</si>
  <si>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</si>
  <si>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</si>
  <si>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</si>
  <si>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</si>
  <si>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</si>
  <si>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</si>
  <si>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</si>
  <si>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</si>
  <si>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</si>
  <si>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</si>
  <si>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</si>
  <si>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</si>
  <si>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</si>
  <si>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</si>
  <si>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</si>
  <si>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</si>
  <si>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</si>
  <si>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</si>
  <si>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</si>
  <si>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</si>
  <si>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</si>
  <si>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</si>
  <si>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</si>
  <si>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</si>
  <si>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</si>
  <si>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</si>
  <si>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</si>
  <si>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</si>
  <si>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</si>
  <si>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</si>
  <si>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</si>
  <si>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</si>
  <si>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</si>
  <si>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</si>
  <si>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</si>
  <si>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</si>
  <si>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</si>
  <si>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</si>
  <si>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</si>
  <si>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</si>
  <si>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</si>
  <si>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</si>
  <si>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</si>
  <si>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</si>
  <si>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</si>
  <si>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</si>
  <si>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</si>
  <si>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</si>
  <si>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</si>
  <si>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</si>
  <si>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</si>
  <si>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</si>
  <si>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</si>
  <si>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</si>
  <si>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</si>
  <si>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</si>
  <si>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</si>
  <si>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</si>
  <si>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</si>
  <si>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</si>
  <si>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</si>
  <si>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</si>
  <si>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</si>
  <si>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</si>
  <si>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</si>
  <si>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</si>
  <si>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</si>
  <si>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</si>
  <si>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</si>
  <si>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</si>
  <si>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</si>
  <si>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</si>
  <si>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</si>
  <si>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</si>
  <si>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</si>
  <si>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</si>
  <si>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</si>
  <si>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</si>
  <si>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</si>
  <si>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</si>
  <si>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</si>
  <si>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</si>
  <si>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</si>
  <si>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</si>
  <si>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</si>
  <si>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</si>
  <si>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</si>
  <si>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</si>
  <si>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</si>
  <si>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</si>
  <si>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</si>
  <si>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</si>
  <si>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</si>
  <si>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</si>
  <si>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</si>
  <si>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</si>
  <si>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</si>
  <si>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</si>
  <si>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</si>
  <si>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</si>
  <si>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</si>
  <si>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</si>
  <si>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</si>
  <si>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</si>
  <si>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</si>
  <si>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</si>
  <si>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</si>
  <si>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</si>
  <si>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</si>
  <si>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</si>
  <si>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</si>
  <si>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</si>
  <si>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</si>
  <si>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</si>
  <si>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</si>
  <si>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</si>
  <si>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</si>
  <si>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</si>
  <si>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</si>
  <si>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</si>
  <si>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</si>
  <si>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</si>
  <si>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</si>
  <si>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</si>
  <si>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</si>
  <si>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</si>
  <si>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</si>
  <si>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</si>
  <si>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</si>
  <si>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</si>
  <si>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</si>
  <si>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</si>
  <si>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</si>
  <si>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</si>
  <si>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</si>
  <si>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</si>
  <si>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</si>
  <si>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</si>
  <si>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</si>
  <si>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</si>
  <si>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</si>
  <si>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</si>
  <si>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</si>
  <si>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</si>
  <si>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</si>
  <si>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</si>
  <si>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</si>
  <si>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</si>
  <si>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</si>
  <si>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</si>
  <si>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</si>
  <si>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</si>
  <si>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</si>
  <si>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</si>
  <si>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</si>
  <si>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</si>
  <si>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</si>
  <si>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</si>
  <si>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</si>
  <si>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</si>
  <si>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</si>
  <si>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</si>
  <si>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</si>
  <si>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</si>
  <si>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</si>
  <si>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</si>
  <si>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</si>
  <si>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</si>
  <si>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</si>
  <si>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</si>
  <si>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</si>
  <si>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</si>
  <si>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</si>
  <si>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</si>
  <si>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</si>
  <si>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</si>
  <si>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</si>
  <si>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</si>
  <si>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</si>
  <si>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</si>
  <si>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</si>
  <si>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</si>
  <si>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</si>
  <si>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</si>
  <si>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</si>
  <si>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</si>
  <si>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</si>
  <si>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</si>
  <si>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</si>
  <si>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</si>
  <si>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</si>
  <si>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</si>
  <si>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</si>
  <si>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</si>
  <si>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</si>
  <si>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</si>
  <si>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</si>
  <si>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</si>
  <si>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</si>
  <si>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</si>
  <si>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</si>
  <si>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</si>
  <si>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</si>
  <si>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</si>
  <si>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</si>
  <si>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</si>
  <si>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</si>
  <si>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</si>
  <si>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</si>
  <si>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</si>
  <si>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</si>
  <si>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</si>
  <si>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</si>
  <si>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</si>
  <si>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</si>
  <si>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</si>
  <si>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</si>
  <si>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</si>
  <si>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</si>
  <si>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</si>
  <si>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</si>
  <si>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</si>
  <si>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</si>
  <si>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</si>
  <si>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</si>
  <si>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</si>
  <si>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</si>
  <si>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</si>
  <si>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</si>
  <si>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</si>
  <si>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</si>
  <si>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</si>
  <si>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</si>
  <si>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</si>
  <si>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</si>
  <si>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</si>
  <si>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</si>
  <si>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</si>
  <si>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</si>
  <si>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</si>
  <si>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</si>
  <si>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</si>
  <si>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</si>
  <si>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</si>
  <si>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</si>
  <si>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</si>
  <si>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</si>
  <si>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</si>
  <si>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</si>
  <si>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</si>
  <si>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</si>
  <si>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</si>
  <si>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</si>
  <si>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</si>
  <si>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</si>
  <si>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</si>
  <si>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</si>
  <si>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</si>
  <si>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</si>
  <si>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</si>
  <si>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</si>
  <si>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</si>
  <si>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</si>
  <si>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</si>
  <si>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</si>
  <si>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</si>
  <si>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</si>
  <si>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</si>
  <si>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</si>
  <si>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</si>
  <si>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</si>
  <si>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</si>
  <si>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</si>
  <si>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</si>
  <si>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</si>
  <si>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</si>
  <si>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</si>
  <si>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</si>
  <si>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</si>
  <si>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</si>
  <si>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</si>
  <si>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</si>
  <si>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</si>
  <si>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</si>
  <si>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</si>
  <si>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</si>
  <si>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</si>
  <si>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</si>
  <si>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</si>
  <si>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</si>
  <si>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</si>
  <si>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</si>
  <si>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</si>
  <si>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</si>
  <si>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</si>
  <si>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</si>
  <si>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</si>
  <si>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</si>
  <si>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</si>
  <si>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</si>
  <si>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</si>
  <si>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</si>
  <si>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</si>
  <si>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</si>
  <si>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</si>
  <si>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</si>
  <si>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</si>
  <si>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</si>
  <si>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</si>
  <si>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</si>
  <si>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</si>
  <si>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</si>
  <si>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</si>
  <si>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</si>
  <si>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</si>
  <si>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</si>
  <si>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</si>
  <si>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</si>
  <si>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</si>
  <si>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</si>
  <si>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</si>
  <si>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</si>
  <si>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</si>
  <si>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</si>
  <si>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</si>
  <si>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</si>
  <si>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</si>
  <si>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</si>
  <si>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</si>
  <si>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</si>
  <si>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</si>
  <si>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</si>
  <si>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</si>
  <si>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</si>
  <si>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</si>
  <si>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</si>
  <si>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</si>
  <si>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</si>
  <si>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</si>
  <si>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</si>
  <si>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</si>
  <si>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</si>
  <si>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</si>
  <si>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</si>
  <si>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</si>
  <si>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</si>
  <si>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</si>
  <si>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</si>
  <si>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</si>
  <si>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</si>
  <si>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</si>
  <si>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</si>
  <si>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</si>
  <si>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</si>
  <si>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</si>
  <si>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</si>
  <si>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</si>
  <si>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</si>
  <si>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</si>
  <si>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</si>
  <si>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</si>
  <si>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</si>
  <si>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</si>
  <si>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</si>
  <si>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</si>
  <si>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</si>
  <si>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</si>
  <si>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</si>
  <si>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</si>
  <si>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</si>
  <si>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</si>
  <si>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</si>
  <si>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</si>
  <si>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</si>
  <si>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</si>
  <si>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</si>
  <si>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</si>
  <si>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</si>
  <si>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</si>
  <si>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</si>
  <si>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</si>
  <si>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</si>
  <si>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</si>
  <si>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</si>
  <si>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</si>
  <si>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</si>
  <si>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</si>
  <si>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</si>
  <si>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</si>
  <si>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</si>
  <si>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</si>
  <si>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</si>
  <si>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</si>
  <si>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</si>
  <si>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</si>
  <si>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</si>
  <si>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</si>
  <si>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</si>
  <si>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</si>
  <si>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</si>
  <si>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</si>
  <si>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</si>
  <si>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</si>
  <si>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</si>
  <si>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</si>
  <si>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</si>
  <si>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</si>
  <si>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</si>
  <si>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</si>
  <si>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</si>
  <si>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</si>
  <si>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</si>
  <si>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</si>
  <si>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</si>
  <si>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</si>
  <si>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</si>
  <si>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</si>
  <si>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</si>
  <si>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</si>
  <si>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</si>
  <si>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</si>
  <si>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</si>
  <si>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</si>
  <si>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</si>
  <si>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</si>
  <si>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</si>
  <si>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</si>
  <si>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</si>
  <si>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</si>
  <si>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</si>
  <si>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</si>
  <si>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</si>
  <si>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</si>
  <si>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</si>
  <si>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</si>
  <si>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</si>
  <si>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</si>
  <si>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</si>
  <si>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</si>
  <si>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</si>
  <si>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</si>
  <si>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</si>
  <si>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</si>
  <si>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</si>
  <si>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</si>
  <si>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</si>
  <si>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</si>
  <si>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</si>
  <si>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</si>
  <si>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</si>
  <si>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</si>
  <si>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</si>
  <si>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</si>
  <si>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</si>
  <si>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</si>
  <si>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</si>
  <si>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</si>
  <si>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</si>
  <si>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</si>
  <si>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</si>
  <si>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</si>
  <si>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</si>
  <si>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</si>
  <si>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</si>
  <si>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</si>
  <si>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</si>
  <si>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</si>
  <si>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</si>
  <si>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</si>
  <si>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</si>
  <si>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</si>
  <si>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</si>
  <si>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</si>
  <si>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</si>
  <si>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</si>
  <si>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</si>
  <si>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</si>
  <si>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</si>
  <si>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</si>
  <si>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</si>
  <si>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</si>
  <si>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</si>
  <si>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</si>
  <si>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</si>
  <si>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</si>
  <si>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</si>
  <si>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</si>
  <si>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</si>
  <si>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</si>
  <si>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</si>
  <si>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</si>
  <si>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</si>
  <si>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</si>
  <si>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</si>
  <si>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</si>
  <si>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</si>
  <si>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</si>
  <si>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</si>
  <si>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</si>
  <si>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</si>
  <si>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</si>
  <si>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</si>
  <si>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</si>
  <si>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</si>
  <si>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</si>
  <si>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</si>
  <si>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</si>
  <si>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</si>
  <si>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</si>
  <si>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</si>
  <si>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</si>
  <si>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</si>
  <si>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</si>
  <si>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</si>
  <si>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</si>
  <si>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</si>
  <si>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</si>
  <si>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</si>
  <si>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</si>
  <si>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</si>
  <si>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</si>
  <si>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</si>
  <si>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</si>
  <si>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</si>
  <si>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</si>
  <si>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</si>
  <si>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</si>
  <si>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</si>
  <si>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</si>
  <si>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</si>
  <si>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</si>
  <si>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</si>
  <si>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</si>
  <si>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</si>
  <si>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</si>
  <si>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</si>
  <si>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</si>
  <si>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</si>
  <si>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</si>
  <si>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</si>
  <si>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</si>
  <si>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</si>
  <si>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</si>
  <si>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</si>
  <si>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</si>
  <si>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</si>
  <si>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</si>
  <si>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</si>
  <si>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</si>
  <si>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</si>
  <si>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</si>
  <si>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</si>
  <si>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</si>
  <si>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</si>
  <si>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</si>
  <si>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</si>
  <si>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</si>
  <si>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</si>
  <si>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</si>
  <si>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</si>
  <si>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</si>
  <si>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</si>
  <si>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</si>
  <si>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</si>
  <si>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</si>
  <si>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</si>
  <si>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</si>
  <si>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</si>
  <si>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</si>
  <si>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</si>
  <si>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</si>
  <si>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</si>
  <si>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</si>
  <si>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</si>
  <si>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</si>
  <si>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</si>
  <si>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</si>
  <si>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</si>
  <si>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</si>
  <si>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</si>
  <si>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</si>
  <si>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</si>
  <si>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</si>
  <si>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</si>
  <si>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</si>
  <si>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</si>
  <si>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</si>
  <si>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</si>
  <si>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</si>
  <si>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</si>
  <si>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</si>
  <si>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</si>
  <si>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</si>
  <si>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</si>
  <si>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</si>
  <si>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</si>
  <si>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</si>
  <si>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</si>
  <si>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</si>
  <si>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</si>
  <si>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</si>
  <si>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</si>
  <si>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</si>
  <si>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</si>
  <si>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</si>
  <si>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</si>
  <si>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</si>
  <si>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</si>
  <si>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</si>
  <si>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</si>
  <si>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</si>
  <si>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</si>
  <si>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</si>
  <si>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</si>
  <si>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</si>
  <si>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</si>
  <si>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</si>
  <si>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</si>
  <si>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</si>
  <si>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</si>
  <si>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</si>
  <si>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</si>
  <si>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</si>
  <si>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</si>
  <si>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</si>
  <si>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</si>
  <si>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</si>
  <si>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</si>
  <si>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</si>
  <si>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</si>
  <si>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</si>
  <si>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</si>
  <si>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</si>
  <si>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</si>
  <si>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</si>
  <si>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</si>
  <si>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</si>
  <si>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</si>
  <si>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</si>
  <si>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</si>
  <si>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</si>
  <si>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</si>
  <si>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</si>
  <si>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</si>
  <si>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</si>
  <si>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</si>
  <si>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</si>
  <si>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</si>
  <si>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</si>
  <si>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</si>
  <si>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</si>
  <si>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</si>
  <si>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</si>
  <si>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</si>
  <si>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</si>
  <si>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</si>
  <si>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</si>
  <si>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</si>
  <si>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</si>
  <si>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</si>
  <si>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</si>
  <si>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</si>
  <si>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</si>
  <si>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</si>
  <si>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</si>
  <si>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</si>
  <si>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</si>
  <si>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</si>
  <si>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</si>
  <si>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</si>
  <si>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</si>
  <si>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</si>
  <si>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</si>
  <si>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</si>
  <si>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</si>
  <si>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</si>
  <si>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</si>
  <si>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</si>
  <si>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</si>
  <si>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</si>
  <si>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</si>
  <si>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</si>
  <si>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</si>
  <si>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</si>
  <si>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</si>
  <si>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</si>
  <si>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</si>
  <si>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</si>
  <si>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</si>
  <si>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</si>
  <si>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</si>
  <si>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</si>
  <si>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</si>
  <si>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</si>
  <si>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</si>
  <si>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</si>
  <si>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</si>
  <si>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</si>
  <si>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</si>
  <si>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</si>
  <si>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</si>
  <si>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</si>
  <si>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</si>
  <si>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</si>
  <si>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</si>
  <si>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</si>
  <si>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</si>
  <si>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</si>
  <si>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</si>
  <si>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</si>
  <si>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</si>
  <si>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</si>
  <si>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</si>
  <si>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</si>
  <si>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</si>
  <si>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</si>
  <si>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</si>
  <si>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</si>
  <si>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</si>
  <si>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</si>
  <si>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</si>
  <si>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</si>
  <si>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</si>
  <si>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</si>
  <si>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</si>
  <si>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</si>
  <si>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</si>
  <si>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</si>
  <si>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</si>
  <si>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</si>
  <si>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</si>
  <si>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</si>
  <si>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</si>
  <si>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</si>
  <si>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</si>
  <si>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</si>
  <si>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</si>
  <si>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</si>
  <si>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</si>
  <si>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</si>
  <si>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</si>
  <si>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</si>
  <si>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</si>
  <si>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</si>
  <si>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</si>
  <si>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</si>
  <si>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</si>
  <si>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</si>
  <si>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</si>
  <si>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</si>
  <si>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</si>
  <si>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</si>
  <si>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</si>
  <si>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</si>
  <si>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</si>
  <si>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</si>
  <si>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</si>
  <si>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</si>
  <si>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</si>
  <si>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</si>
  <si>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</si>
  <si>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</si>
  <si>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</si>
  <si>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</si>
  <si>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</si>
  <si>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</si>
  <si>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</si>
  <si>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</si>
  <si>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</si>
  <si>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</si>
  <si>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</si>
  <si>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</si>
  <si>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</si>
  <si>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</si>
  <si>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</si>
  <si>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</si>
  <si>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</si>
  <si>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</si>
  <si>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</si>
  <si>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</si>
  <si>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</si>
  <si>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</si>
  <si>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</si>
  <si>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</si>
  <si>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</si>
  <si>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</si>
  <si>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</si>
  <si>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</si>
  <si>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</si>
  <si>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</si>
  <si>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</si>
  <si>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</si>
  <si>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</si>
  <si>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</si>
  <si>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</si>
  <si>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</si>
  <si>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</si>
  <si>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</si>
  <si>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</si>
  <si>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</si>
  <si>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</si>
  <si>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</si>
  <si>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</si>
  <si>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</si>
  <si>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</si>
  <si>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</si>
  <si>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</si>
  <si>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</si>
  <si>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</si>
  <si>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</si>
  <si>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</si>
  <si>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</si>
  <si>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</si>
  <si>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</si>
  <si>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</si>
  <si>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</si>
  <si>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</si>
  <si>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</si>
  <si>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</si>
  <si>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</si>
  <si>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</si>
  <si>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</si>
  <si>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</si>
  <si>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</si>
  <si>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</si>
  <si>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</si>
  <si>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</si>
  <si>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</si>
  <si>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</si>
  <si>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</si>
  <si>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</si>
  <si>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</si>
  <si>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</si>
  <si>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</si>
  <si>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</si>
  <si>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</si>
  <si>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</si>
  <si>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</si>
  <si>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</si>
  <si>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</si>
  <si>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</si>
  <si>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</si>
  <si>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</si>
  <si>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</si>
  <si>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</si>
  <si>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</si>
  <si>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</si>
  <si>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</si>
  <si>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</si>
  <si>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</si>
  <si>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</si>
  <si>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</si>
  <si>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</si>
  <si>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</si>
  <si>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</si>
  <si>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</si>
  <si>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</si>
  <si>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</si>
  <si>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</si>
  <si>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</si>
  <si>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</si>
  <si>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</si>
  <si>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</si>
  <si>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</si>
  <si>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</si>
  <si>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</si>
  <si>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</si>
  <si>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</si>
  <si>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</si>
  <si>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</si>
  <si>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</si>
  <si>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</si>
  <si>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</si>
  <si>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</si>
  <si>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</si>
  <si>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</si>
  <si>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</si>
  <si>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</si>
  <si>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</si>
  <si>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</si>
  <si>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</si>
  <si>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</si>
  <si>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</si>
  <si>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</si>
  <si>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</si>
  <si>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</si>
  <si>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</si>
  <si>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</si>
  <si>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</si>
  <si>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</si>
  <si>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</si>
  <si>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</si>
  <si>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</si>
  <si>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</si>
  <si>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</si>
  <si>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</si>
  <si>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</si>
  <si>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</si>
  <si>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</si>
  <si>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</si>
  <si>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</si>
  <si>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</si>
  <si>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</si>
  <si>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</si>
  <si>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</si>
  <si>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</si>
  <si>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</si>
  <si>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</si>
  <si>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</si>
  <si>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</si>
  <si>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</si>
  <si>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</si>
  <si>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</si>
  <si>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</si>
  <si>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</si>
  <si>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</si>
  <si>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</si>
  <si>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</si>
  <si>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</si>
  <si>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</si>
  <si>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</si>
  <si>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</si>
  <si>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</si>
  <si>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</si>
  <si>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</si>
  <si>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</si>
  <si>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</si>
  <si>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</si>
  <si>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</si>
  <si>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</si>
  <si>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</si>
  <si>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</si>
  <si>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</si>
  <si>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</si>
  <si>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</si>
  <si>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</si>
  <si>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</si>
  <si>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</si>
  <si>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</si>
  <si>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</si>
  <si>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</si>
  <si>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</si>
  <si>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</si>
  <si>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</si>
  <si>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</si>
  <si>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</si>
  <si>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</si>
  <si>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</si>
  <si>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</si>
  <si>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</si>
  <si>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</si>
  <si>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</si>
  <si>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</si>
  <si>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</si>
  <si>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</si>
  <si>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</si>
  <si>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</si>
  <si>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</si>
  <si>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</si>
  <si>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</si>
  <si>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</si>
  <si>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</si>
  <si>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</si>
  <si>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</si>
  <si>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</si>
  <si>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</si>
  <si>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</si>
  <si>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</si>
  <si>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</si>
  <si>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</si>
  <si>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</si>
  <si>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</si>
  <si>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</si>
  <si>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</si>
  <si>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</si>
  <si>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</si>
  <si>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</si>
  <si>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</si>
  <si>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</si>
  <si>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</si>
  <si>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</si>
  <si>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</si>
  <si>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</si>
  <si>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</si>
  <si>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</si>
  <si>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</si>
  <si>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</si>
  <si>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</si>
  <si>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</si>
  <si>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</si>
  <si>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</si>
  <si>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</si>
  <si>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</si>
  <si>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</si>
  <si>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</si>
  <si>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</si>
  <si>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</si>
  <si>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</si>
  <si>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</si>
  <si>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</si>
  <si>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</si>
  <si>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</si>
  <si>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</si>
  <si>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</si>
  <si>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</si>
  <si>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</si>
  <si>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</si>
  <si>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</si>
  <si>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</si>
  <si>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</si>
  <si>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</si>
  <si>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</si>
  <si>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</si>
  <si>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</si>
  <si>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</si>
  <si>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</si>
  <si>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</si>
  <si>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</si>
  <si>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</si>
  <si>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</si>
  <si>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</si>
  <si>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</si>
  <si>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</si>
  <si>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</si>
  <si>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</si>
  <si>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</si>
  <si>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</si>
  <si>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</si>
  <si>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</si>
  <si>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</si>
  <si>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</si>
  <si>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</si>
  <si>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</si>
  <si>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</si>
  <si>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</si>
  <si>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</si>
  <si>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</si>
  <si>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</si>
  <si>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</si>
  <si>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</si>
  <si>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</si>
  <si>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</si>
  <si>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</si>
  <si>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</si>
  <si>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</si>
  <si>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</si>
  <si>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</si>
  <si>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</si>
  <si>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</si>
  <si>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</si>
  <si>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</si>
  <si>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</si>
  <si>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</si>
  <si>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</si>
  <si>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</si>
  <si>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</si>
  <si>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</si>
  <si>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</si>
  <si>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</si>
  <si>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</si>
  <si>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</si>
  <si>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</si>
  <si>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</si>
  <si>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</si>
  <si>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</si>
  <si>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</si>
  <si>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</si>
  <si>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</si>
  <si>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</si>
  <si>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</si>
  <si>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</si>
  <si>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</si>
  <si>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</si>
  <si>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</si>
  <si>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</si>
  <si>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</si>
  <si>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</si>
  <si>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</si>
  <si>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</si>
  <si>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</si>
  <si>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</si>
  <si>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</si>
  <si>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</si>
  <si>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</si>
  <si>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</si>
  <si>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</si>
  <si>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</si>
  <si>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</si>
  <si>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</si>
  <si>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</si>
  <si>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</si>
  <si>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</si>
  <si>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</si>
  <si>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</si>
  <si>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</si>
  <si>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</si>
  <si>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</si>
  <si>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</si>
  <si>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</si>
  <si>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</si>
  <si>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</si>
  <si>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</si>
  <si>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</si>
  <si>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</si>
  <si>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</si>
  <si>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</si>
  <si>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</si>
  <si>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</si>
  <si>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</si>
  <si>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</si>
  <si>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</si>
  <si>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</si>
  <si>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</si>
  <si>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</si>
  <si>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</si>
  <si>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</si>
  <si>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</si>
  <si>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</si>
  <si>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</si>
  <si>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</si>
  <si>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</si>
  <si>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</si>
  <si>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</si>
  <si>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</si>
  <si>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</si>
  <si>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</si>
  <si>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</si>
  <si>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</si>
  <si>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</si>
  <si>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</si>
  <si>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</si>
  <si>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</si>
  <si>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</si>
  <si>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</si>
  <si>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</si>
  <si>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</si>
  <si>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</si>
  <si>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</si>
  <si>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</si>
  <si>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</si>
  <si>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</si>
  <si>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</si>
  <si>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</si>
  <si>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</si>
  <si>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</si>
  <si>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</si>
  <si>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</si>
  <si>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</si>
  <si>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</si>
  <si>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</si>
  <si>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</si>
  <si>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</si>
  <si>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</si>
  <si>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</si>
  <si>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</si>
  <si>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</si>
  <si>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</si>
  <si>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</si>
  <si>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</si>
  <si>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</si>
  <si>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</si>
  <si>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</si>
  <si>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</si>
  <si>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</si>
  <si>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</si>
  <si>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</si>
  <si>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</si>
  <si>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</si>
  <si>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</si>
  <si>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</si>
  <si>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</si>
  <si>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</si>
  <si>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</si>
  <si>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</si>
  <si>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</si>
  <si>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</si>
  <si>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</si>
  <si>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</si>
  <si>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</si>
  <si>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</si>
  <si>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</si>
  <si>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</si>
  <si>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</si>
  <si>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</si>
  <si>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</si>
  <si>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</si>
  <si>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</si>
  <si>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</si>
  <si>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</si>
  <si>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</si>
  <si>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</si>
  <si>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</si>
  <si>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</si>
  <si>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</si>
  <si>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</si>
  <si>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</si>
  <si>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</si>
  <si>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</si>
  <si>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</si>
  <si>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</si>
  <si>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</si>
  <si>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</si>
  <si>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</si>
  <si>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</si>
  <si>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</si>
  <si>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</si>
  <si>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</si>
  <si>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</si>
  <si>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</si>
  <si>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</si>
  <si>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</si>
  <si>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</si>
  <si>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</si>
  <si>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</si>
  <si>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</si>
  <si>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</si>
  <si>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</si>
  <si>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</si>
  <si>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</si>
  <si>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</si>
  <si>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</si>
  <si>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</si>
  <si>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</si>
  <si>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</si>
  <si>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</si>
  <si>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</si>
  <si>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</si>
  <si>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</si>
  <si>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</si>
  <si>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</si>
  <si>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</si>
  <si>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</si>
  <si>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</si>
  <si>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</si>
  <si>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</si>
  <si>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</si>
  <si>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</si>
  <si>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</si>
  <si>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</si>
  <si>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</si>
  <si>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</si>
  <si>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</si>
  <si>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</si>
  <si>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</si>
  <si>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</si>
  <si>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</si>
  <si>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</si>
  <si>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</si>
  <si>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</si>
  <si>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</si>
  <si>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</si>
  <si>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</si>
  <si>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</si>
  <si>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</si>
  <si>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</si>
  <si>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</si>
  <si>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</si>
  <si>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</si>
  <si>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</si>
  <si>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</si>
  <si>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</si>
  <si>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</si>
  <si>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</si>
  <si>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</si>
  <si>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</si>
  <si>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</si>
  <si>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</si>
  <si>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</si>
  <si>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</si>
  <si>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</si>
  <si>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</si>
  <si>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</si>
  <si>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</si>
  <si>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</si>
  <si>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</si>
  <si>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</si>
  <si>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</si>
  <si>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</si>
  <si>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</si>
  <si>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</si>
  <si>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</si>
  <si>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</si>
  <si>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</si>
  <si>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</si>
  <si>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</si>
  <si>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</si>
  <si>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</si>
  <si>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</si>
  <si>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</si>
  <si>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</si>
  <si>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</si>
  <si>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</si>
  <si>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</si>
  <si>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</si>
  <si>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</si>
  <si>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</si>
  <si>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</si>
  <si>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</si>
  <si>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</si>
  <si>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</si>
  <si>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</si>
  <si>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</si>
  <si>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</si>
  <si>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</si>
  <si>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</si>
  <si>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</si>
  <si>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</si>
  <si>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</si>
  <si>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</si>
  <si>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</si>
  <si>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</si>
  <si>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</si>
  <si>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</si>
  <si>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</si>
  <si>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</si>
  <si>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</si>
  <si>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</si>
  <si>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</si>
  <si>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</si>
  <si>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</si>
  <si>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</si>
  <si>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</si>
  <si>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</si>
  <si>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</si>
  <si>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</si>
  <si>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</si>
  <si>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</si>
  <si>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</si>
  <si>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</si>
  <si>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</si>
  <si>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</si>
  <si>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</si>
  <si>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</si>
  <si>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</si>
  <si>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</si>
  <si>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</si>
  <si>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</si>
  <si>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</si>
  <si>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</si>
  <si>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</si>
  <si>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</si>
  <si>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</si>
  <si>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</si>
  <si>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</si>
  <si>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</si>
  <si>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</si>
  <si>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</si>
  <si>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</si>
  <si>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</si>
  <si>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</si>
  <si>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</si>
  <si>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</si>
  <si>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</si>
  <si>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</si>
  <si>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</si>
  <si>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</si>
  <si>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</si>
  <si>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</si>
  <si>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</si>
  <si>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</si>
  <si>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</si>
  <si>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</si>
  <si>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</si>
  <si>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</si>
  <si>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</si>
  <si>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</si>
  <si>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</si>
  <si>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</si>
  <si>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</si>
  <si>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</si>
  <si>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</si>
  <si>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</si>
  <si>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</si>
  <si>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</si>
  <si>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</si>
  <si>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</si>
  <si>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</si>
  <si>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</si>
  <si>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</si>
  <si>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</si>
  <si>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</si>
  <si>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</si>
  <si>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</si>
  <si>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</si>
  <si>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</si>
  <si>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</si>
  <si>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</si>
  <si>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</si>
  <si>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</si>
  <si>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</si>
  <si>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</si>
  <si>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</si>
  <si>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</si>
  <si>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</si>
  <si>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</si>
  <si>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</si>
  <si>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</si>
  <si>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</si>
  <si>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</si>
  <si>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</si>
  <si>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</si>
  <si>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</si>
  <si>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</si>
  <si>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</si>
  <si>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</si>
  <si>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</si>
  <si>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</si>
  <si>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</si>
  <si>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</si>
  <si>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</si>
  <si>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</si>
  <si>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</si>
  <si>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</si>
  <si>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</si>
  <si>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</si>
  <si>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</si>
  <si>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</si>
  <si>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</si>
  <si>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</si>
  <si>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</si>
  <si>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</si>
  <si>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</si>
  <si>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</si>
  <si>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</si>
  <si>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</si>
  <si>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</si>
  <si>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</si>
  <si>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</si>
  <si>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</si>
  <si>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</si>
  <si>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</si>
  <si>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</si>
  <si>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</si>
  <si>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</si>
  <si>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</si>
  <si>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</si>
  <si>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</si>
  <si>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</si>
  <si>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</si>
  <si>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</si>
  <si>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</si>
  <si>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</si>
  <si>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</si>
  <si>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</si>
  <si>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</si>
  <si>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</si>
  <si>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</si>
  <si>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</si>
  <si>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</si>
  <si>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</si>
  <si>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</si>
  <si>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</si>
  <si>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</si>
  <si>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</si>
  <si>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</si>
  <si>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</si>
  <si>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</si>
  <si>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</si>
  <si>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</si>
  <si>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</si>
  <si>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</si>
  <si>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</si>
  <si>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</si>
  <si>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</si>
  <si>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</si>
  <si>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</si>
  <si>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</si>
  <si>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</si>
  <si>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</si>
  <si>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</si>
  <si>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</si>
  <si>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</si>
  <si>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</si>
  <si>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</si>
  <si>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</si>
  <si>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</si>
  <si>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</si>
  <si>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</si>
  <si>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</si>
  <si>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</si>
  <si>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</si>
  <si>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</si>
  <si>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</si>
  <si>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</si>
  <si>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</si>
  <si>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</si>
  <si>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</si>
  <si>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</si>
  <si>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</si>
  <si>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</si>
  <si>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</si>
  <si>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</si>
  <si>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</si>
  <si>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</si>
  <si>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</si>
  <si>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</si>
  <si>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</si>
  <si>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</si>
  <si>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</si>
  <si>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</si>
  <si>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</si>
  <si>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</si>
  <si>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</si>
  <si>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</si>
  <si>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</si>
  <si>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</si>
  <si>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</si>
  <si>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</si>
  <si>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</si>
  <si>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</si>
  <si>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</si>
  <si>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</si>
  <si>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</si>
  <si>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</si>
  <si>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</si>
  <si>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</si>
  <si>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</si>
  <si>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</si>
  <si>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</si>
  <si>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</si>
  <si>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</si>
  <si>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</si>
  <si>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</si>
  <si>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</si>
  <si>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</si>
  <si>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</si>
  <si>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</si>
  <si>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</si>
  <si>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</si>
  <si>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</si>
  <si>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</si>
  <si>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</si>
  <si>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</si>
  <si>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</si>
  <si>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</si>
  <si>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</si>
  <si>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</si>
  <si>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</si>
  <si>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</si>
  <si>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</si>
  <si>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</si>
  <si>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</si>
  <si>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</si>
  <si>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</si>
  <si>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</si>
  <si>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</si>
  <si>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</si>
  <si>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</si>
  <si>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</si>
  <si>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</si>
  <si>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</si>
  <si>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</si>
  <si>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</si>
  <si>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</si>
  <si>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</si>
  <si>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</si>
  <si>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</si>
  <si>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</si>
  <si>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</si>
  <si>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</si>
  <si>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</si>
  <si>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</si>
  <si>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</si>
  <si>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</si>
  <si>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</si>
  <si>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</si>
  <si>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</si>
  <si>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</si>
  <si>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</si>
  <si>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</si>
  <si>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</si>
  <si>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</si>
  <si>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</si>
  <si>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</si>
  <si>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</si>
  <si>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</si>
  <si>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</si>
  <si>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</si>
  <si>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</si>
  <si>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</si>
  <si>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</si>
  <si>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</si>
  <si>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</si>
  <si>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</si>
  <si>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</si>
  <si>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</si>
  <si>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</si>
  <si>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</si>
  <si>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</si>
  <si>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</si>
  <si>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</si>
  <si>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</si>
  <si>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</si>
  <si>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</si>
  <si>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</si>
  <si>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</si>
  <si>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</si>
  <si>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</si>
  <si>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</si>
  <si>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</si>
  <si>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</si>
  <si>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</si>
  <si>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</si>
  <si>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</si>
  <si>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</si>
  <si>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</si>
  <si>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</si>
  <si>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</si>
  <si>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</si>
  <si>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</si>
  <si>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</si>
  <si>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</si>
  <si>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</si>
  <si>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</si>
  <si>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</si>
  <si>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</si>
  <si>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</si>
  <si>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</si>
  <si>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</si>
  <si>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</si>
  <si>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</si>
  <si>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</si>
  <si>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</si>
  <si>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</si>
  <si>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</si>
  <si>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</si>
  <si>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</si>
  <si>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</si>
  <si>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</si>
  <si>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</si>
  <si>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</si>
  <si>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</si>
  <si>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</si>
  <si>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</si>
  <si>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</si>
  <si>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</si>
  <si>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</si>
  <si>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</si>
  <si>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</si>
  <si>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</si>
  <si>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</si>
  <si>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</si>
  <si>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</si>
  <si>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</si>
  <si>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</si>
  <si>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</si>
  <si>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</si>
  <si>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</si>
  <si>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</si>
  <si>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</si>
  <si>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</si>
  <si>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</si>
  <si>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</si>
  <si>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</si>
  <si>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</si>
  <si>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</si>
  <si>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</si>
  <si>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</si>
  <si>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</si>
  <si>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</si>
  <si>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</si>
  <si>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</si>
  <si>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</si>
  <si>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</si>
  <si>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</si>
  <si>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</si>
  <si>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</si>
  <si>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</si>
  <si>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</si>
  <si>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</si>
  <si>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</si>
  <si>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</si>
  <si>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</si>
  <si>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</si>
  <si>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</si>
  <si>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</si>
  <si>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</si>
  <si>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</si>
  <si>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</si>
  <si>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</si>
  <si>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</si>
  <si>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</si>
  <si>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</si>
  <si>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</si>
  <si>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</si>
  <si>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</si>
  <si>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</si>
  <si>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</si>
  <si>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</si>
  <si>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</si>
  <si>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</si>
  <si>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</si>
  <si>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</si>
  <si>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</si>
  <si>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</si>
  <si>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</si>
  <si>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</si>
  <si>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</si>
  <si>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</si>
  <si>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</si>
  <si>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</si>
  <si>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</si>
  <si>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</si>
  <si>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</si>
  <si>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</si>
  <si>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</si>
  <si>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</si>
  <si>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</si>
  <si>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</si>
  <si>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</si>
  <si>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</si>
  <si>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</si>
  <si>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</si>
  <si>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</si>
  <si>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</si>
  <si>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</si>
  <si>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</si>
  <si>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</si>
  <si>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</si>
  <si>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</si>
  <si>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</si>
  <si>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</si>
  <si>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</si>
  <si>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</si>
  <si>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</si>
  <si>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</si>
  <si>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</si>
  <si>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</si>
  <si>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</si>
  <si>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</si>
  <si>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</si>
  <si>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</si>
  <si>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</si>
  <si>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</si>
  <si>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</si>
  <si>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</si>
  <si>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</si>
  <si>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</si>
  <si>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</si>
  <si>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</si>
  <si>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</si>
  <si>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</si>
  <si>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</si>
  <si>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</si>
  <si>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</si>
  <si>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</si>
  <si>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</si>
  <si>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</si>
  <si>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</si>
  <si>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</si>
  <si>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</si>
  <si>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</si>
  <si>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</si>
  <si>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</si>
  <si>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</si>
  <si>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</si>
  <si>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</si>
  <si>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</si>
  <si>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</si>
  <si>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</si>
  <si>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</si>
  <si>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</si>
  <si>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</si>
  <si>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</si>
  <si>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</si>
  <si>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</si>
  <si>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</si>
  <si>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</si>
  <si>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</si>
  <si>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</si>
  <si>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</si>
  <si>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</si>
  <si>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</si>
  <si>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</si>
  <si>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</si>
  <si>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</si>
  <si>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</si>
  <si>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</si>
  <si>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</si>
  <si>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</si>
  <si>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</si>
  <si>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</si>
  <si>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</si>
  <si>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</si>
  <si>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</si>
  <si>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</si>
  <si>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</si>
  <si>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</si>
  <si>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</si>
  <si>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</si>
  <si>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</si>
  <si>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</si>
  <si>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</si>
  <si>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</si>
  <si>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</si>
  <si>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</si>
  <si>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</si>
  <si>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</si>
  <si>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</si>
  <si>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</si>
  <si>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</si>
  <si>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</si>
  <si>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</si>
  <si>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</si>
  <si>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</si>
  <si>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</si>
  <si>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</si>
  <si>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</si>
  <si>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</si>
  <si>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</si>
  <si>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</si>
  <si>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</si>
  <si>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</si>
  <si>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</si>
  <si>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</si>
  <si>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</si>
  <si>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</si>
  <si>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</si>
  <si>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</si>
  <si>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</si>
  <si>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</si>
  <si>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</si>
  <si>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</si>
  <si>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</si>
  <si>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</si>
  <si>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</si>
  <si>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</si>
  <si>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</si>
  <si>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</si>
  <si>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</si>
  <si>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</si>
  <si>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</si>
  <si>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</si>
  <si>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</si>
  <si>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</si>
  <si>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</si>
  <si>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</si>
  <si>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</si>
  <si>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</si>
  <si>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</si>
  <si>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</si>
  <si>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</si>
  <si>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</si>
  <si>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</si>
  <si>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</si>
  <si>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</si>
  <si>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</si>
  <si>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</si>
  <si>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</si>
  <si>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</si>
  <si>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</si>
  <si>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</si>
  <si>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</si>
  <si>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</si>
  <si>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</si>
  <si>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</si>
  <si>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</si>
  <si>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</si>
  <si>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</si>
  <si>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</si>
  <si>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</si>
  <si>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</si>
  <si>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</si>
  <si>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</si>
  <si>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</si>
  <si>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</si>
  <si>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</si>
  <si>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</si>
  <si>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</si>
  <si>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</si>
  <si>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</si>
  <si>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</si>
  <si>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</si>
  <si>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</si>
  <si>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</si>
  <si>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</si>
  <si>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</si>
  <si>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</si>
  <si>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</si>
  <si>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</si>
  <si>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</si>
  <si>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</si>
  <si>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</si>
  <si>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</si>
  <si>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</si>
  <si>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</si>
  <si>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</si>
  <si>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</si>
  <si>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</si>
  <si>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</si>
  <si>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</si>
  <si>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</si>
  <si>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</si>
  <si>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</si>
  <si>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</si>
  <si>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</si>
  <si>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</si>
  <si>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</si>
  <si>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</si>
  <si>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</si>
  <si>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</si>
  <si>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</si>
  <si>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</si>
  <si>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</si>
  <si>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</si>
  <si>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</si>
  <si>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</si>
  <si>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</si>
  <si>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</si>
  <si>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</si>
  <si>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</si>
  <si>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</si>
  <si>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</si>
  <si>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</si>
  <si>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</si>
  <si>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</si>
  <si>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</si>
  <si>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</si>
  <si>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</si>
  <si>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</si>
  <si>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</si>
  <si>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</si>
  <si>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</si>
  <si>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</si>
  <si>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</si>
  <si>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</si>
  <si>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</si>
  <si>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</si>
  <si>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</si>
  <si>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</si>
  <si>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</si>
  <si>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</si>
  <si>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</si>
  <si>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</si>
  <si>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</si>
  <si>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</si>
  <si>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</si>
  <si>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</si>
  <si>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</si>
  <si>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</si>
  <si>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</si>
  <si>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</si>
  <si>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</si>
  <si>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</si>
  <si>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</si>
  <si>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</si>
  <si>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</si>
  <si>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</si>
  <si>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</si>
  <si>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</si>
  <si>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</si>
  <si>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</si>
  <si>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</si>
  <si>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</si>
  <si>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</si>
  <si>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</si>
  <si>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</si>
  <si>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</si>
  <si>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</si>
  <si>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</si>
  <si>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</si>
  <si>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</si>
  <si>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</si>
  <si>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</si>
  <si>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</si>
  <si>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</si>
  <si>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</si>
  <si>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</si>
  <si>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</si>
  <si>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</si>
  <si>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</si>
  <si>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</si>
  <si>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</si>
  <si>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</si>
  <si>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</si>
  <si>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</si>
  <si>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</si>
  <si>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</si>
  <si>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</si>
  <si>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</si>
  <si>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</si>
  <si>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</si>
  <si>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</si>
  <si>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</si>
  <si>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</si>
  <si>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</si>
  <si>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</si>
  <si>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</si>
  <si>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</si>
  <si>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</si>
  <si>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</si>
  <si>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</si>
  <si>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</si>
  <si>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</si>
  <si>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</si>
  <si>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</si>
  <si>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</si>
  <si>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</si>
  <si>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</si>
  <si>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</si>
  <si>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</si>
  <si>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</si>
  <si>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</si>
  <si>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</si>
  <si>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</si>
  <si>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</si>
  <si>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</si>
  <si>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</si>
  <si>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</si>
  <si>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</si>
  <si>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</si>
  <si>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</si>
  <si>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</si>
  <si>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</si>
  <si>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</si>
  <si>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</si>
  <si>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</si>
  <si>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</si>
  <si>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</si>
  <si>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</si>
  <si>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</si>
  <si>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</si>
  <si>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</si>
  <si>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</si>
  <si>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</si>
  <si>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</si>
  <si>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</si>
  <si>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</si>
  <si>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</si>
  <si>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</si>
  <si>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</si>
  <si>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</si>
  <si>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</si>
  <si>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</si>
  <si>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</si>
  <si>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</si>
  <si>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</si>
  <si>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</si>
  <si>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</si>
  <si>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</si>
  <si>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</si>
  <si>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</si>
  <si>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</si>
  <si>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</si>
  <si>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</si>
  <si>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</si>
  <si>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</si>
  <si>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</si>
  <si>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</si>
  <si>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</si>
  <si>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</si>
  <si>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</si>
  <si>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</si>
  <si>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</si>
  <si>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</si>
  <si>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</si>
  <si>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</si>
  <si>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</si>
  <si>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</si>
  <si>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</si>
  <si>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</si>
  <si>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</si>
  <si>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</si>
  <si>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</si>
  <si>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</si>
  <si>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</si>
  <si>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</si>
  <si>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</si>
  <si>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</si>
  <si>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</si>
  <si>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</si>
  <si>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</si>
  <si>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</si>
  <si>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</si>
  <si>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</si>
  <si>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</si>
  <si>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</si>
  <si>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</si>
  <si>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</si>
  <si>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</si>
  <si>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</si>
  <si>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</si>
  <si>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</si>
  <si>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</si>
  <si>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</si>
  <si>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</si>
  <si>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</si>
  <si>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</si>
  <si>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</si>
  <si>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</si>
  <si>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</si>
  <si>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</si>
  <si>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</si>
  <si>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</si>
  <si>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</si>
  <si>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</si>
  <si>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</si>
  <si>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</si>
  <si>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</si>
  <si>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</si>
  <si>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</si>
  <si>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</si>
  <si>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</si>
  <si>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</si>
  <si>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</si>
  <si>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</si>
  <si>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</si>
  <si>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</si>
  <si>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</si>
  <si>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</si>
  <si>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</si>
  <si>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</si>
  <si>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</si>
  <si>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</si>
  <si>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</si>
  <si>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</si>
  <si>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</si>
  <si>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</si>
  <si>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</si>
  <si>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</si>
  <si>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</si>
  <si>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</si>
  <si>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</si>
  <si>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</si>
  <si>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</si>
  <si>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</si>
  <si>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</si>
  <si>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</si>
  <si>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</si>
  <si>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</si>
  <si>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</si>
  <si>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</si>
  <si>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</si>
  <si>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</si>
  <si>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</si>
  <si>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</si>
  <si>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</si>
  <si>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</si>
  <si>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</si>
  <si>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</si>
  <si>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</si>
  <si>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</si>
  <si>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</si>
  <si>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</si>
  <si>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</si>
  <si>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</si>
  <si>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</si>
  <si>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</si>
  <si>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</si>
  <si>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</si>
  <si>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</si>
  <si>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</si>
  <si>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</si>
  <si>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</si>
  <si>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</si>
  <si>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</si>
  <si>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</si>
  <si>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</si>
  <si>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</si>
  <si>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</si>
  <si>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</si>
  <si>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</si>
  <si>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</si>
  <si>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</si>
  <si>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</si>
  <si>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</si>
  <si>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</si>
  <si>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</si>
  <si>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</si>
  <si>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</si>
  <si>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</si>
  <si>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</si>
  <si>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</si>
  <si>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</si>
  <si>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</si>
  <si>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</si>
  <si>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</si>
  <si>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</si>
  <si>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</si>
  <si>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</si>
  <si>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</si>
  <si>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</si>
  <si>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</si>
  <si>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</si>
  <si>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</si>
  <si>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</si>
  <si>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</si>
  <si>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</si>
  <si>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</si>
  <si>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</si>
  <si>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</si>
  <si>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</si>
  <si>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</si>
  <si>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</si>
  <si>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</si>
  <si>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</si>
  <si>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</si>
  <si>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</si>
  <si>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</si>
  <si>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</si>
  <si>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</si>
  <si>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</si>
  <si>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</si>
  <si>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</si>
  <si>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</si>
  <si>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</si>
  <si>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</si>
  <si>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</si>
  <si>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</si>
  <si>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</si>
  <si>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</si>
  <si>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</si>
  <si>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</si>
  <si>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</si>
  <si>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</si>
  <si>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</si>
  <si>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</si>
  <si>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</si>
  <si>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</si>
  <si>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</si>
  <si>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</si>
  <si>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</si>
  <si>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</si>
  <si>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</si>
  <si>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</si>
  <si>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</si>
  <si>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</si>
  <si>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</si>
  <si>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</si>
  <si>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</si>
  <si>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</si>
  <si>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</si>
  <si>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</si>
  <si>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</si>
  <si>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</si>
  <si>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</si>
  <si>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</si>
  <si>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</si>
  <si>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</si>
  <si>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</si>
  <si>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</si>
  <si>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</si>
  <si>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</si>
  <si>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</si>
  <si>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</si>
  <si>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</si>
  <si>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</si>
  <si>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</si>
  <si>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</si>
  <si>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</si>
  <si>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</si>
  <si>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</si>
  <si>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</si>
  <si>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</si>
  <si>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</si>
  <si>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</si>
  <si>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</si>
  <si>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</si>
  <si>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</si>
  <si>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</si>
  <si>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</si>
  <si>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</si>
  <si>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</si>
  <si>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</si>
  <si>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</si>
  <si>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</si>
  <si>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</si>
  <si>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</si>
  <si>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</si>
  <si>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</si>
  <si>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</si>
  <si>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</si>
  <si>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</si>
  <si>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</si>
  <si>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</si>
  <si>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</si>
  <si>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</si>
  <si>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</si>
  <si>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</si>
  <si>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</si>
  <si>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</si>
  <si>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</si>
  <si>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</si>
  <si>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</si>
  <si>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</si>
  <si>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</si>
  <si>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</si>
  <si>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</si>
  <si>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</si>
  <si>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</si>
  <si>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</si>
  <si>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</si>
  <si>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</si>
  <si>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</si>
  <si>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</si>
  <si>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</si>
  <si>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</si>
  <si>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</si>
  <si>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</si>
  <si>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</si>
  <si>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</si>
  <si>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</si>
  <si>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</si>
  <si>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</si>
  <si>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</si>
  <si>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</si>
  <si>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</si>
  <si>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</si>
  <si>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</si>
  <si>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</si>
  <si>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</si>
  <si>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</si>
  <si>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</si>
  <si>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</si>
  <si>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</si>
  <si>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</si>
  <si>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</si>
  <si>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</si>
  <si>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</si>
  <si>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</si>
  <si>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</si>
  <si>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</si>
  <si>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</si>
  <si>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</si>
  <si>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</si>
  <si>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</si>
  <si>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</si>
  <si>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</si>
  <si>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</si>
  <si>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</si>
  <si>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</si>
  <si>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</si>
  <si>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</si>
  <si>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</si>
  <si>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</si>
  <si>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</si>
  <si>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</si>
  <si>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</si>
  <si>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</si>
  <si>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</si>
  <si>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</si>
  <si>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</si>
  <si>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</si>
  <si>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</si>
  <si>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</si>
  <si>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</si>
  <si>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</si>
  <si>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</si>
  <si>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</si>
  <si>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</si>
  <si>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</si>
  <si>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</si>
  <si>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</si>
  <si>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</si>
  <si>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</si>
  <si>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</si>
  <si>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</si>
  <si>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</si>
  <si>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</si>
  <si>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</si>
  <si>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</si>
  <si>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</si>
  <si>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</si>
  <si>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</si>
  <si>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</si>
  <si>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</si>
  <si>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</si>
  <si>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</si>
  <si>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</si>
  <si>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</si>
  <si>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</si>
  <si>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</si>
  <si>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</si>
  <si>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</si>
  <si>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</si>
  <si>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</si>
  <si>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</si>
  <si>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</si>
  <si>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</si>
  <si>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</si>
  <si>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</si>
  <si>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</si>
  <si>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</si>
  <si>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</si>
  <si>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</si>
  <si>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</si>
  <si>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</si>
  <si>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</si>
  <si>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</si>
  <si>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</si>
  <si>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</si>
  <si>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</si>
  <si>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</si>
  <si>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</si>
  <si>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</si>
  <si>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</si>
  <si>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</si>
  <si>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</si>
  <si>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</si>
  <si>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</si>
  <si>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</si>
  <si>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</si>
  <si>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</si>
  <si>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</si>
  <si>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</si>
  <si>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</si>
  <si>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</si>
  <si>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</si>
  <si>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</si>
  <si>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</si>
  <si>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</si>
  <si>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</si>
  <si>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</si>
  <si>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</si>
  <si>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</si>
  <si>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</si>
  <si>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</si>
  <si>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</si>
  <si>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</si>
  <si>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</si>
  <si>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</si>
  <si>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</si>
  <si>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</si>
  <si>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</si>
  <si>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</si>
  <si>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</si>
  <si>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</si>
  <si>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</si>
  <si>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</si>
  <si>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</si>
  <si>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</si>
  <si>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</si>
  <si>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</si>
  <si>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</si>
  <si>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</si>
  <si>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</si>
  <si>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</si>
  <si>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</si>
  <si>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</si>
  <si>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</si>
  <si>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</si>
  <si>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</si>
  <si>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</si>
  <si>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</si>
  <si>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</si>
  <si>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</si>
  <si>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</si>
  <si>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</si>
  <si>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</si>
  <si>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</si>
  <si>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</si>
  <si>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</si>
  <si>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</si>
  <si>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</si>
  <si>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</si>
  <si>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</si>
  <si>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</si>
  <si>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</si>
  <si>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</si>
  <si>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</si>
  <si>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</si>
  <si>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</si>
  <si>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</si>
  <si>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</si>
  <si>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</si>
  <si>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</si>
  <si>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</si>
  <si>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</si>
  <si>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</si>
  <si>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</si>
  <si>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</si>
  <si>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</si>
  <si>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</si>
  <si>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</si>
  <si>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</si>
  <si>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</si>
  <si>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</si>
  <si>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</si>
  <si>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</si>
  <si>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</si>
  <si>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</si>
  <si>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</si>
  <si>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</si>
  <si>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</si>
  <si>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</si>
  <si>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</si>
  <si>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</si>
  <si>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</si>
  <si>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</si>
  <si>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</si>
  <si>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</si>
  <si>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</si>
  <si>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</si>
  <si>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</si>
  <si>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</si>
  <si>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</si>
  <si>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</si>
  <si>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</si>
  <si>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</si>
  <si>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</si>
  <si>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</si>
  <si>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</si>
  <si>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</si>
  <si>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</si>
  <si>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</si>
  <si>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</si>
  <si>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</si>
  <si>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</si>
  <si>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</si>
  <si>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</si>
  <si>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</si>
  <si>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</si>
  <si>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</si>
  <si>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</si>
  <si>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</si>
  <si>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</si>
  <si>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</si>
  <si>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</si>
  <si>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</si>
  <si>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</si>
  <si>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</si>
  <si>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</si>
  <si>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</si>
  <si>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</si>
  <si>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</si>
  <si>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</si>
  <si>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</si>
  <si>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</si>
  <si>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</si>
  <si>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</si>
  <si>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</si>
  <si>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</si>
  <si>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</si>
  <si>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</si>
  <si>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</si>
  <si>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</si>
  <si>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</si>
  <si>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</si>
  <si>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</si>
  <si>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</si>
  <si>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</si>
  <si>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</si>
  <si>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</si>
  <si>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</si>
  <si>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</si>
  <si>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</si>
  <si>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</si>
  <si>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</si>
  <si>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</si>
  <si>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</si>
  <si>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</si>
  <si>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</si>
  <si>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</si>
  <si>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</si>
  <si>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</si>
  <si>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</si>
  <si>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</si>
  <si>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</si>
  <si>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</si>
  <si>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</si>
  <si>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</si>
  <si>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</si>
  <si>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</si>
  <si>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</si>
  <si>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</si>
  <si>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</si>
  <si>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</si>
  <si>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</si>
  <si>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</si>
  <si>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</si>
  <si>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</si>
  <si>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</si>
  <si>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</si>
  <si>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</si>
  <si>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</si>
  <si>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</si>
  <si>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</si>
  <si>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</si>
  <si>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</si>
  <si>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</si>
  <si>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</si>
  <si>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</si>
  <si>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</si>
  <si>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</si>
  <si>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</si>
  <si>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</si>
  <si>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</si>
  <si>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</si>
  <si>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</si>
  <si>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</si>
  <si>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</si>
  <si>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</si>
  <si>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</si>
  <si>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</si>
  <si>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</si>
  <si>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</si>
  <si>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</si>
  <si>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</si>
  <si>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</si>
  <si>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</si>
  <si>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</si>
  <si>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</si>
  <si>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</si>
  <si>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</si>
  <si>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</si>
  <si>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</si>
  <si>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</si>
  <si>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</si>
  <si>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</si>
  <si>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</si>
  <si>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</si>
  <si>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</si>
  <si>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</si>
  <si>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</si>
  <si>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</si>
  <si>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</si>
  <si>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</si>
  <si>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</si>
  <si>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</si>
  <si>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</si>
  <si>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</si>
  <si>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</si>
  <si>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</si>
  <si>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</si>
  <si>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</si>
  <si>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</si>
  <si>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</si>
  <si>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</si>
  <si>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</si>
  <si>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</si>
  <si>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</si>
  <si>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</si>
  <si>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</si>
  <si>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</si>
  <si>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</si>
  <si>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</si>
  <si>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</si>
  <si>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</si>
  <si>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</si>
  <si>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</si>
  <si>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</si>
  <si>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</si>
  <si>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</si>
  <si>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</si>
  <si>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</si>
  <si>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</si>
  <si>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</si>
  <si>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</si>
  <si>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</si>
  <si>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</si>
  <si>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</si>
  <si>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</si>
  <si>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</si>
  <si>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</si>
  <si>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</si>
  <si>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</si>
  <si>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</si>
  <si>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</si>
  <si>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</si>
  <si>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</si>
  <si>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</si>
  <si>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</si>
  <si>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</si>
  <si>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</si>
  <si>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</si>
  <si>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</si>
  <si>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</si>
  <si>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</si>
  <si>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</si>
  <si>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</si>
  <si>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</si>
  <si>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</si>
  <si>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</si>
  <si>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</si>
  <si>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</si>
  <si>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</si>
  <si>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</si>
  <si>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</si>
  <si>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</si>
  <si>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</si>
  <si>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</si>
  <si>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</si>
  <si>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</si>
  <si>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</si>
  <si>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</si>
  <si>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</si>
  <si>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</si>
  <si>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</si>
  <si>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</si>
  <si>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</si>
  <si>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</si>
  <si>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</si>
  <si>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</si>
  <si>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</si>
  <si>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</si>
  <si>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</si>
  <si>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</si>
  <si>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</si>
  <si>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</si>
  <si>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</si>
  <si>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</si>
  <si>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</si>
  <si>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</si>
  <si>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</si>
  <si>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</si>
  <si>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</si>
  <si>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</si>
  <si>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</si>
  <si>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</si>
  <si>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</si>
  <si>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</si>
  <si>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</si>
  <si>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</si>
  <si>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</si>
  <si>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</si>
  <si>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</si>
  <si>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</si>
  <si>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</si>
  <si>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</si>
  <si>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</si>
  <si>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</si>
  <si>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</si>
  <si>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</si>
  <si>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</si>
  <si>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</si>
  <si>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</si>
  <si>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</si>
  <si>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</si>
  <si>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</si>
  <si>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</si>
  <si>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</si>
  <si>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</si>
  <si>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</si>
  <si>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</si>
  <si>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</si>
  <si>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</si>
  <si>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</si>
  <si>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</si>
  <si>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</si>
  <si>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</si>
  <si>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</si>
  <si>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</si>
  <si>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</si>
  <si>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</si>
  <si>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</si>
  <si>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</si>
  <si>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</si>
  <si>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</si>
  <si>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</si>
  <si>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</si>
  <si>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</si>
  <si>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</si>
  <si>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</si>
  <si>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</si>
  <si>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</si>
  <si>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</si>
  <si>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</si>
  <si>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</si>
  <si>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</si>
  <si>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</si>
  <si>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</si>
  <si>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</si>
  <si>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</si>
  <si>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</si>
  <si>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</si>
  <si>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</si>
  <si>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</si>
  <si>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</si>
  <si>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</si>
  <si>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</si>
  <si>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</si>
  <si>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</si>
  <si>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</si>
  <si>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</si>
  <si>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</si>
  <si>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</si>
  <si>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</si>
  <si>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</si>
  <si>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</si>
  <si>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</si>
  <si>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</si>
  <si>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</si>
  <si>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</si>
  <si>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</si>
  <si>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</si>
  <si>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</si>
  <si>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</si>
  <si>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</si>
  <si>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</si>
  <si>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</si>
  <si>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</si>
  <si>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</si>
  <si>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</si>
  <si>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</si>
  <si>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</si>
  <si>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</si>
  <si>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</si>
  <si>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</si>
  <si>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</si>
  <si>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</si>
  <si>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</si>
  <si>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</si>
  <si>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</si>
  <si>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</si>
  <si>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</si>
  <si>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</si>
  <si>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</si>
  <si>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</si>
  <si>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</si>
  <si>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</si>
  <si>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</si>
  <si>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</si>
  <si>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</si>
  <si>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</si>
  <si>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</si>
  <si>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</si>
  <si>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</si>
  <si>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</si>
  <si>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</si>
  <si>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</si>
  <si>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</si>
  <si>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</si>
  <si>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</si>
  <si>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</si>
  <si>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</si>
  <si>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</si>
  <si>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</si>
  <si>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</si>
  <si>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</si>
  <si>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</si>
  <si>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</si>
  <si>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</si>
  <si>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</si>
  <si>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</si>
  <si>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</si>
  <si>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</si>
  <si>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</si>
  <si>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</si>
  <si>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</si>
  <si>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</si>
  <si>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</si>
  <si>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</si>
  <si>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</si>
  <si>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</si>
  <si>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</si>
  <si>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</si>
  <si>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</si>
  <si>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</si>
  <si>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</si>
  <si>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</si>
  <si>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</si>
  <si>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</si>
  <si>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</si>
  <si>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</si>
  <si>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</si>
  <si>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</si>
  <si>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</si>
  <si>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</si>
  <si>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</si>
  <si>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</si>
  <si>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</si>
  <si>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</si>
  <si>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</si>
  <si>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</si>
  <si>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</si>
  <si>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</si>
  <si>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</si>
  <si>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</si>
  <si>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</si>
  <si>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</si>
  <si>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</si>
  <si>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</si>
  <si>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</si>
  <si>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</si>
  <si>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</si>
  <si>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</si>
  <si>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</si>
  <si>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</si>
  <si>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</si>
  <si>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</si>
  <si>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</si>
  <si>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</si>
  <si>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</si>
  <si>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</si>
  <si>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</si>
  <si>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</si>
  <si>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</si>
  <si>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</si>
  <si>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</si>
  <si>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</si>
  <si>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</si>
  <si>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</si>
  <si>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</si>
  <si>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</si>
  <si>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</si>
  <si>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</si>
  <si>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</si>
  <si>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</si>
  <si>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</si>
  <si>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</si>
  <si>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</si>
  <si>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</si>
  <si>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</si>
  <si>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</si>
  <si>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</si>
  <si>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</si>
  <si>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</si>
  <si>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</si>
  <si>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</si>
  <si>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</si>
  <si>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</si>
  <si>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</si>
  <si>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</si>
  <si>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</si>
  <si>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</si>
  <si>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</si>
  <si>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</si>
  <si>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</si>
  <si>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</si>
  <si>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</si>
  <si>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</si>
  <si>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</si>
  <si>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</si>
  <si>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</si>
  <si>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</si>
  <si>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</si>
  <si>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</si>
  <si>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</si>
  <si>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</si>
  <si>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</si>
  <si>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</si>
  <si>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</si>
  <si>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</si>
  <si>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</si>
  <si>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</si>
  <si>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</si>
  <si>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</si>
  <si>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</si>
  <si>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</si>
  <si>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</si>
  <si>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</si>
  <si>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</si>
  <si>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</si>
  <si>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</si>
  <si>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</si>
  <si>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</si>
  <si>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</si>
  <si>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</si>
  <si>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</si>
  <si>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</si>
  <si>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</si>
  <si>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</si>
  <si>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</si>
  <si>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</si>
  <si>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</si>
  <si>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</si>
  <si>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</si>
  <si>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</si>
  <si>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</si>
  <si>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</si>
  <si>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</si>
  <si>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</si>
  <si>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</si>
  <si>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</si>
  <si>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</si>
  <si>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</si>
  <si>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</si>
  <si>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</si>
  <si>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</si>
  <si>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</si>
  <si>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</si>
  <si>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</si>
  <si>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</si>
  <si>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</si>
  <si>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</si>
  <si>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</si>
  <si>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</si>
  <si>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</si>
  <si>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</si>
  <si>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</si>
  <si>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</si>
  <si>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</si>
  <si>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</si>
  <si>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</si>
  <si>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</si>
  <si>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</si>
  <si>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</si>
  <si>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</si>
  <si>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</si>
  <si>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</si>
  <si>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</si>
  <si>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</si>
  <si>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</si>
  <si>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</si>
  <si>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</si>
  <si>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</si>
  <si>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</si>
  <si>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</si>
  <si>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</si>
  <si>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</si>
  <si>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</si>
  <si>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</si>
  <si>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</si>
  <si>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</si>
  <si>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</si>
  <si>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</si>
  <si>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</si>
  <si>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</si>
  <si>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</si>
  <si>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</si>
  <si>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</si>
  <si>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</si>
  <si>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</si>
  <si>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</si>
  <si>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</si>
  <si>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</si>
  <si>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</si>
  <si>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</si>
  <si>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</si>
  <si>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</si>
  <si>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</si>
  <si>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</si>
  <si>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</si>
  <si>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</si>
  <si>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</si>
  <si>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</si>
  <si>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</si>
  <si>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</si>
  <si>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</si>
  <si>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</si>
  <si>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</si>
  <si>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</si>
  <si>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</si>
  <si>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</si>
  <si>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</si>
  <si>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</si>
  <si>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</si>
  <si>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</si>
  <si>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</si>
  <si>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</si>
  <si>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</si>
  <si>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</si>
  <si>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</si>
  <si>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</si>
  <si>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</si>
  <si>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</si>
  <si>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</si>
  <si>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</si>
  <si>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</si>
  <si>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</si>
  <si>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</si>
  <si>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</si>
  <si>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</si>
  <si>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</si>
  <si>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</si>
  <si>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</si>
  <si>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</si>
  <si>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</si>
  <si>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</si>
  <si>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</si>
  <si>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</si>
  <si>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</si>
  <si>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</si>
  <si>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</si>
  <si>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</si>
  <si>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</si>
  <si>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</si>
  <si>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</si>
  <si>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</si>
  <si>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</si>
  <si>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</si>
  <si>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</si>
  <si>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</si>
  <si>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</si>
  <si>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</si>
  <si>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</si>
  <si>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</si>
  <si>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</si>
  <si>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</si>
  <si>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</si>
  <si>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</si>
  <si>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</si>
  <si>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</si>
  <si>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</si>
  <si>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</si>
  <si>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</si>
  <si>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</si>
  <si>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</si>
  <si>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</si>
  <si>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</si>
  <si>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</si>
  <si>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</si>
  <si>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</si>
  <si>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</si>
  <si>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</si>
  <si>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</si>
  <si>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</si>
  <si>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</si>
  <si>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</si>
  <si>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</si>
  <si>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</si>
  <si>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</si>
  <si>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</si>
  <si>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</si>
  <si>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</si>
  <si>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</si>
  <si>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</si>
  <si>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</si>
  <si>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</si>
  <si>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</si>
  <si>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</si>
  <si>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</si>
  <si>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</si>
  <si>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</si>
  <si>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</si>
  <si>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</si>
  <si>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</si>
  <si>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</si>
  <si>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</si>
  <si>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</si>
  <si>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</si>
  <si>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</si>
  <si>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</si>
  <si>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</si>
  <si>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</si>
  <si>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</si>
  <si>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</si>
  <si>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</si>
  <si>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</si>
  <si>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</si>
  <si>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</si>
  <si>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</si>
  <si>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</si>
  <si>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</si>
  <si>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</si>
  <si>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</si>
  <si>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</si>
  <si>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</si>
  <si>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</si>
  <si>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</si>
  <si>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</si>
  <si>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</si>
  <si>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</si>
  <si>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</si>
  <si>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</si>
  <si>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</si>
  <si>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</si>
  <si>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</si>
  <si>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</si>
  <si>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</si>
  <si>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</si>
  <si>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</si>
  <si>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</si>
  <si>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</si>
  <si>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</si>
  <si>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</si>
  <si>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</si>
  <si>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</si>
  <si>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</si>
  <si>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</si>
  <si>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</si>
  <si>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</si>
  <si>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</si>
  <si>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</si>
  <si>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</si>
  <si>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</si>
  <si>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</si>
  <si>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</si>
  <si>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</si>
  <si>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</si>
  <si>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</si>
  <si>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</si>
  <si>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</si>
  <si>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</si>
  <si>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</si>
  <si>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</si>
  <si>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</si>
  <si>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</si>
  <si>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</si>
  <si>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</si>
  <si>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</si>
  <si>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</si>
  <si>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</si>
  <si>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</si>
  <si>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</si>
  <si>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</si>
  <si>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</si>
  <si>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</si>
  <si>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</si>
  <si>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</si>
  <si>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</si>
  <si>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</si>
  <si>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</si>
  <si>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</si>
  <si>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</si>
  <si>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</si>
  <si>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</si>
  <si>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</si>
  <si>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</si>
  <si>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</si>
  <si>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</si>
  <si>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</si>
  <si>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</si>
  <si>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</si>
  <si>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</si>
  <si>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</si>
  <si>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</si>
  <si>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</si>
  <si>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</si>
  <si>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</si>
  <si>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</si>
  <si>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</si>
  <si>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</si>
  <si>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</si>
  <si>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</si>
  <si>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</si>
  <si>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</si>
  <si>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</si>
  <si>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</si>
  <si>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</si>
  <si>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</si>
  <si>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</si>
  <si>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</si>
  <si>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</si>
  <si>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</si>
  <si>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</si>
  <si>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</si>
  <si>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</si>
  <si>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</si>
  <si>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</si>
  <si>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</si>
  <si>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</si>
  <si>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</si>
  <si>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</si>
  <si>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</si>
  <si>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</si>
  <si>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</si>
  <si>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</si>
  <si>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</si>
  <si>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</si>
  <si>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</si>
  <si>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</si>
  <si>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</si>
  <si>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</si>
  <si>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</si>
  <si>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</si>
  <si>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</si>
  <si>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</si>
  <si>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</si>
  <si>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</si>
  <si>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</si>
  <si>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</si>
  <si>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</si>
  <si>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</si>
  <si>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</si>
  <si>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</si>
  <si>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</si>
  <si>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</si>
  <si>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</si>
  <si>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</si>
  <si>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</si>
  <si>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</si>
  <si>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</si>
  <si>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</si>
  <si>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</si>
  <si>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</si>
  <si>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</si>
  <si>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</si>
  <si>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</si>
  <si>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</si>
  <si>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</si>
  <si>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</si>
  <si>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</si>
  <si>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</si>
  <si>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</si>
  <si>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</si>
  <si>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</si>
  <si>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</si>
  <si>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</si>
  <si>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</si>
  <si>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</si>
  <si>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</si>
  <si>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</si>
  <si>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</si>
  <si>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</si>
  <si>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</si>
  <si>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</si>
  <si>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</si>
  <si>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</si>
  <si>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</si>
  <si>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</si>
  <si>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</si>
  <si>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</si>
  <si>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</si>
  <si>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</si>
  <si>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</si>
  <si>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</si>
  <si>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</si>
  <si>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</si>
  <si>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</si>
  <si>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</si>
  <si>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</si>
  <si>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</si>
  <si>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</si>
  <si>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</si>
  <si>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</si>
  <si>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</si>
  <si>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</si>
  <si>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</si>
  <si>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</si>
  <si>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</si>
  <si>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</si>
  <si>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</si>
  <si>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</si>
  <si>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</si>
  <si>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</si>
  <si>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</si>
  <si>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</si>
  <si>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</si>
  <si>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</si>
  <si>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</si>
  <si>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</si>
  <si>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</si>
  <si>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</si>
  <si>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</si>
  <si>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</si>
  <si>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</si>
  <si>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</si>
  <si>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</si>
  <si>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</si>
  <si>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</si>
  <si>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</si>
  <si>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</si>
  <si>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</si>
  <si>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</si>
  <si>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</si>
  <si>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</si>
  <si>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</si>
  <si>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</si>
  <si>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</si>
  <si>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</si>
  <si>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</si>
  <si>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</si>
  <si>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</si>
  <si>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</si>
  <si>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</si>
  <si>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</si>
  <si>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</si>
  <si>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</si>
  <si>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</si>
  <si>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</si>
  <si>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</si>
  <si>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</si>
  <si>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</si>
  <si>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</si>
  <si>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</si>
  <si>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</si>
  <si>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</si>
  <si>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</si>
  <si>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</si>
  <si>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</si>
  <si>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</si>
  <si>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</si>
  <si>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</si>
  <si>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</si>
  <si>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</si>
  <si>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</si>
  <si>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</si>
  <si>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</si>
  <si>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</si>
  <si>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</si>
  <si>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</si>
  <si>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</si>
  <si>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</si>
  <si>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</si>
  <si>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</si>
  <si>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</si>
  <si>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</si>
  <si>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</si>
  <si>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</si>
  <si>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</si>
  <si>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</si>
  <si>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</si>
  <si>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</si>
  <si>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</si>
  <si>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</si>
  <si>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</si>
  <si>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</si>
  <si>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</si>
  <si>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</si>
  <si>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</si>
  <si>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</si>
  <si>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</si>
  <si>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</si>
  <si>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</si>
  <si>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</si>
  <si>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</si>
  <si>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</si>
  <si>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</si>
  <si>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</si>
  <si>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</si>
  <si>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</si>
  <si>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</si>
  <si>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</si>
  <si>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</si>
  <si>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</si>
  <si>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</si>
  <si>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</si>
  <si>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</si>
  <si>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</si>
  <si>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</si>
  <si>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</si>
  <si>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</si>
  <si>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</si>
  <si>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</si>
  <si>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</si>
  <si>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</si>
  <si>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</si>
  <si>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</si>
  <si>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</si>
  <si>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</si>
  <si>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</si>
  <si>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</si>
  <si>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</si>
  <si>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</si>
  <si>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</si>
  <si>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</si>
  <si>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</si>
  <si>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</si>
  <si>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</si>
  <si>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</si>
  <si>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</si>
  <si>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</si>
  <si>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</si>
  <si>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</si>
  <si>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</si>
  <si>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</si>
  <si>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</si>
  <si>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</si>
  <si>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</si>
  <si>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</si>
  <si>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</si>
  <si>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</si>
  <si>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</si>
  <si>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</si>
  <si>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</si>
  <si>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</si>
  <si>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</si>
  <si>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</si>
  <si>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</si>
  <si>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</si>
  <si>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</si>
  <si>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</si>
  <si>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</si>
  <si>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</si>
  <si>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</si>
  <si>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</si>
  <si>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</si>
  <si>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</si>
  <si>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</si>
  <si>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</si>
  <si>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</si>
  <si>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</si>
  <si>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</si>
  <si>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</si>
  <si>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</si>
  <si>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</si>
  <si>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</si>
  <si>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</si>
  <si>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</si>
  <si>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</si>
  <si>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</si>
  <si>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</si>
  <si>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</si>
  <si>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</si>
  <si>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</si>
  <si>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</si>
  <si>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</si>
  <si>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</si>
  <si>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</si>
  <si>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</si>
  <si>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</si>
  <si>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</si>
  <si>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</si>
  <si>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</si>
  <si>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</si>
  <si>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</si>
  <si>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</si>
  <si>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</si>
  <si>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</si>
  <si>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</si>
  <si>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</si>
  <si>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</si>
  <si>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</si>
  <si>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</si>
  <si>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</si>
  <si>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</si>
  <si>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</si>
  <si>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</si>
  <si>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</si>
  <si>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</si>
  <si>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</si>
  <si>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</si>
  <si>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</si>
  <si>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</si>
  <si>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</si>
  <si>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</si>
  <si>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</si>
  <si>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</si>
  <si>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</si>
  <si>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</si>
  <si>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</si>
  <si>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</si>
  <si>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</si>
  <si>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</si>
  <si>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</si>
  <si>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</si>
  <si>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</si>
  <si>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</si>
  <si>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</si>
  <si>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</si>
  <si>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</si>
  <si>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</si>
  <si>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</si>
  <si>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</si>
  <si>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</si>
  <si>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</si>
  <si>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</si>
  <si>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</si>
  <si>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</si>
  <si>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</si>
  <si>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</si>
  <si>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</si>
  <si>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</si>
  <si>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</si>
  <si>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</si>
  <si>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</si>
  <si>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</si>
  <si>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</si>
  <si>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</si>
  <si>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</si>
  <si>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</si>
  <si>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</si>
  <si>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</si>
  <si>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</si>
  <si>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</si>
  <si>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</si>
  <si>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</si>
  <si>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</si>
  <si>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</si>
  <si>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</si>
  <si>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</si>
  <si>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</si>
  <si>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</si>
  <si>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</si>
  <si>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</si>
  <si>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</si>
  <si>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</si>
  <si>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</si>
  <si>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</si>
  <si>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</si>
  <si>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</si>
  <si>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</si>
  <si>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</si>
  <si>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</si>
  <si>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</si>
  <si>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</si>
  <si>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</si>
  <si>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</si>
  <si>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</si>
  <si>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</si>
  <si>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</si>
  <si>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</si>
  <si>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</si>
  <si>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</si>
  <si>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</si>
  <si>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</si>
  <si>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</si>
  <si>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</si>
  <si>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</si>
  <si>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</si>
  <si>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</si>
  <si>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</si>
  <si>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</si>
  <si>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</si>
  <si>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</si>
  <si>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</si>
  <si>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</si>
  <si>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</si>
  <si>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</si>
  <si>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</si>
  <si>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</si>
  <si>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</si>
  <si>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</si>
  <si>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</si>
  <si>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</si>
  <si>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</si>
  <si>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</si>
  <si>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</si>
  <si>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</si>
  <si>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</si>
  <si>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</si>
  <si>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</si>
  <si>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</si>
  <si>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</si>
  <si>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</si>
  <si>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</si>
  <si>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</si>
  <si>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</si>
  <si>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</si>
  <si>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</si>
  <si>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</si>
  <si>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</si>
  <si>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</si>
  <si>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</si>
  <si>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</si>
  <si>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</si>
  <si>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</si>
  <si>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</si>
  <si>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</si>
  <si>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</si>
  <si>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</si>
  <si>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</si>
  <si>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</si>
  <si>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</si>
  <si>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</si>
  <si>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</si>
  <si>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</si>
  <si>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</si>
  <si>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</si>
  <si>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</si>
  <si>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</si>
  <si>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</si>
  <si>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</si>
  <si>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</si>
  <si>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</si>
  <si>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</si>
  <si>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</si>
  <si>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</si>
  <si>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</si>
  <si>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</si>
  <si>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</si>
  <si>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</si>
  <si>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</si>
  <si>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</si>
  <si>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</si>
  <si>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</si>
  <si>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</si>
  <si>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</si>
  <si>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</si>
  <si>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</si>
  <si>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</si>
  <si>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</si>
  <si>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</si>
  <si>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</si>
  <si>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</si>
  <si>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</si>
  <si>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</si>
  <si>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</si>
  <si>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</si>
  <si>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</si>
  <si>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</si>
  <si>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</si>
  <si>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</si>
  <si>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</si>
  <si>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</si>
  <si>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</si>
  <si>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</si>
  <si>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</si>
  <si>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</si>
  <si>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</si>
  <si>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</si>
  <si>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</si>
  <si>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</si>
  <si>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</si>
  <si>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</si>
  <si>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</si>
  <si>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</si>
  <si>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</si>
  <si>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</si>
  <si>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</si>
  <si>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</si>
  <si>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</si>
  <si>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</si>
  <si>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</si>
  <si>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</si>
  <si>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</si>
  <si>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</si>
  <si>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</si>
  <si>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</si>
  <si>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</si>
  <si>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</si>
  <si>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</si>
  <si>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</si>
  <si>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</si>
  <si>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</si>
  <si>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</si>
  <si>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</si>
  <si>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</si>
  <si>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</si>
  <si>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</si>
  <si>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</si>
  <si>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</si>
  <si>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</si>
  <si>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</si>
  <si>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</si>
  <si>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</si>
  <si>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</si>
  <si>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</si>
  <si>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</si>
  <si>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</si>
  <si>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</si>
  <si>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</si>
  <si>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</si>
  <si>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</si>
  <si>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</si>
  <si>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</si>
  <si>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</si>
  <si>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</si>
  <si>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</si>
  <si>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</si>
  <si>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</si>
  <si>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</si>
  <si>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</si>
  <si>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</si>
  <si>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</si>
  <si>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</si>
  <si>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</si>
  <si>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</si>
  <si>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</si>
  <si>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</si>
  <si>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</si>
  <si>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</si>
  <si>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</si>
  <si>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</si>
  <si>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</si>
  <si>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</si>
  <si>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</si>
  <si>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</si>
  <si>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</si>
  <si>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</si>
  <si>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</si>
  <si>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</si>
  <si>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</si>
  <si>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</si>
  <si>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</si>
  <si>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</si>
  <si>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</si>
  <si>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</si>
  <si>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</si>
  <si>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</si>
  <si>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</si>
  <si>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</si>
  <si>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</si>
  <si>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</si>
  <si>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</si>
  <si>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</si>
  <si>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</si>
  <si>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</si>
  <si>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</si>
  <si>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</si>
  <si>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</si>
  <si>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</si>
  <si>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</si>
  <si>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</si>
  <si>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</si>
  <si>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</si>
  <si>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</si>
  <si>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</si>
  <si>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</si>
  <si>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</si>
  <si>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</si>
  <si>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</si>
  <si>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</si>
  <si>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</si>
  <si>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</si>
  <si>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</si>
  <si>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</si>
  <si>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</si>
  <si>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</si>
  <si>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</si>
  <si>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</si>
  <si>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</si>
  <si>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</si>
  <si>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</si>
  <si>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</si>
  <si>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</si>
  <si>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</si>
  <si>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</si>
  <si>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</si>
  <si>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</si>
  <si>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</si>
  <si>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</si>
  <si>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</si>
  <si>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</si>
  <si>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</si>
  <si>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</si>
  <si>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</si>
  <si>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</si>
  <si>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</si>
  <si>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</si>
  <si>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</si>
  <si>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</si>
  <si>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</si>
  <si>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</si>
  <si>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</si>
  <si>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</si>
  <si>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</si>
  <si>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</si>
  <si>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</si>
  <si>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</si>
  <si>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</si>
  <si>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</si>
  <si>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</si>
  <si>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</si>
  <si>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</si>
  <si>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</si>
  <si>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</si>
  <si>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</si>
  <si>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</si>
  <si>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</si>
  <si>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</si>
  <si>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</si>
  <si>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</si>
  <si>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</si>
  <si>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</si>
  <si>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</si>
  <si>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</si>
  <si>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</si>
  <si>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</si>
  <si>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</si>
  <si>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</si>
  <si>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</si>
  <si>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</si>
  <si>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</si>
  <si>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</si>
  <si>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</si>
  <si>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</si>
  <si>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</si>
  <si>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</si>
  <si>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</si>
  <si>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</si>
  <si>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</si>
  <si>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</si>
  <si>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</si>
  <si>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</si>
  <si>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</si>
  <si>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</si>
  <si>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</si>
  <si>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</si>
  <si>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</si>
  <si>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</si>
  <si>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</si>
  <si>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</si>
  <si>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</si>
  <si>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</si>
  <si>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</si>
  <si>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</si>
  <si>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</si>
  <si>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</si>
  <si>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</si>
  <si>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</si>
  <si>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</si>
  <si>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</si>
  <si>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</si>
  <si>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</si>
  <si>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</si>
  <si>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</si>
  <si>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</si>
  <si>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</si>
  <si>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</si>
  <si>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</si>
  <si>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</si>
  <si>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</si>
  <si>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</si>
  <si>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</si>
  <si>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</si>
  <si>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</si>
  <si>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</si>
  <si>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</si>
  <si>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</si>
  <si>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</si>
  <si>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</si>
  <si>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</si>
  <si>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</si>
  <si>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</si>
  <si>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</si>
  <si>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</si>
  <si>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</si>
  <si>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</si>
  <si>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</si>
  <si>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</si>
  <si>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</si>
  <si>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</si>
  <si>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</si>
  <si>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</si>
  <si>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</si>
  <si>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</si>
  <si>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</si>
  <si>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</si>
  <si>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</si>
  <si>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</si>
  <si>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</si>
  <si>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</si>
  <si>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</si>
  <si>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</si>
  <si>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</si>
  <si>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</si>
  <si>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</si>
  <si>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</si>
  <si>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</si>
  <si>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</si>
  <si>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</si>
  <si>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</si>
  <si>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</si>
  <si>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</si>
  <si>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</si>
  <si>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</si>
  <si>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</si>
  <si>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</si>
  <si>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</si>
  <si>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</si>
  <si>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</si>
  <si>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</si>
  <si>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</si>
  <si>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</si>
  <si>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</si>
  <si>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</si>
  <si>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</si>
  <si>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</si>
  <si>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</si>
  <si>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</si>
  <si>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</si>
  <si>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</si>
  <si>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</si>
  <si>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</si>
  <si>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</si>
  <si>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</si>
  <si>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</si>
  <si>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</si>
  <si>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</si>
  <si>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</si>
  <si>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</si>
  <si>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</si>
  <si>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</si>
  <si>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</si>
  <si>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</si>
  <si>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</si>
  <si>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</si>
  <si>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</si>
  <si>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</si>
  <si>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</si>
  <si>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</si>
  <si>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</si>
  <si>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</si>
  <si>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</si>
  <si>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</si>
  <si>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</si>
  <si>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</si>
  <si>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</si>
  <si>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</si>
  <si>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</si>
  <si>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</si>
  <si>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</si>
  <si>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</si>
  <si>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</si>
  <si>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</si>
  <si>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</si>
  <si>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</si>
  <si>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</si>
  <si>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</si>
  <si>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</si>
  <si>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</si>
  <si>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</si>
  <si>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</si>
  <si>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</si>
  <si>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</si>
  <si>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</si>
  <si>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</si>
  <si>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</si>
  <si>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</si>
  <si>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</si>
  <si>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</si>
  <si>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</si>
  <si>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</si>
  <si>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</si>
  <si>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</si>
  <si>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</si>
  <si>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</si>
  <si>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</si>
  <si>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</si>
  <si>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</si>
  <si>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</si>
  <si>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</si>
  <si>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</si>
  <si>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</si>
  <si>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</si>
  <si>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</si>
  <si>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</si>
  <si>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</si>
  <si>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</si>
  <si>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</si>
  <si>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</si>
  <si>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</si>
  <si>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</si>
  <si>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</si>
  <si>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</si>
  <si>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</si>
  <si>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</si>
  <si>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</si>
  <si>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</si>
  <si>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</si>
  <si>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</si>
  <si>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</si>
  <si>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</si>
  <si>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</si>
  <si>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</si>
  <si>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</si>
  <si>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</si>
  <si>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</si>
  <si>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</si>
  <si>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</si>
  <si>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</si>
  <si>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</si>
  <si>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</si>
  <si>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</si>
  <si>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</si>
  <si>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</si>
  <si>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</si>
  <si>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</si>
  <si>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</si>
  <si>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</si>
  <si>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</si>
  <si>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</si>
  <si>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</si>
  <si>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</si>
  <si>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</si>
  <si>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</si>
  <si>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</si>
  <si>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</si>
  <si>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</si>
  <si>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</si>
  <si>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</si>
  <si>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</si>
  <si>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</si>
  <si>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</si>
  <si>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</si>
  <si>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</si>
  <si>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</si>
  <si>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</si>
  <si>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</si>
  <si>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</si>
  <si>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</si>
  <si>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</si>
  <si>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</si>
  <si>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</si>
  <si>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</si>
  <si>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</si>
  <si>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</si>
  <si>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</si>
  <si>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</si>
  <si>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</si>
  <si>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</si>
  <si>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</si>
  <si>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</si>
  <si>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</si>
  <si>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</si>
  <si>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</si>
  <si>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</si>
  <si>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</si>
  <si>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</si>
  <si>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</si>
  <si>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</si>
  <si>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</si>
  <si>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</si>
  <si>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</si>
  <si>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</si>
  <si>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</si>
  <si>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</si>
  <si>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</si>
  <si>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</si>
  <si>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</si>
  <si>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</si>
  <si>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</si>
  <si>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</si>
  <si>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</si>
  <si>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</si>
  <si>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</si>
  <si>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</si>
  <si>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</si>
  <si>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</si>
  <si>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</si>
  <si>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</si>
  <si>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</si>
  <si>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</si>
  <si>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</si>
  <si>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</si>
  <si>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</si>
  <si>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</si>
  <si>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</si>
  <si>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</si>
  <si>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</si>
  <si>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</si>
  <si>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</si>
  <si>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</si>
  <si>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</si>
  <si>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</si>
  <si>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</si>
  <si>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</si>
  <si>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</si>
  <si>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</si>
  <si>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</si>
  <si>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</si>
  <si>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</si>
  <si>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</si>
  <si>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</si>
  <si>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</si>
  <si>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</si>
  <si>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</si>
  <si>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</si>
  <si>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</si>
  <si>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</si>
  <si>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</si>
  <si>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</si>
  <si>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</si>
  <si>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</si>
  <si>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</si>
  <si>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</si>
  <si>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</si>
  <si>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</si>
  <si>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</si>
  <si>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</si>
  <si>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</si>
  <si>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</si>
  <si>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</si>
  <si>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</si>
  <si>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</si>
  <si>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</si>
  <si>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</si>
  <si>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</si>
  <si>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</si>
  <si>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</si>
  <si>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</si>
  <si>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</si>
  <si>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</si>
  <si>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</si>
  <si>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</si>
  <si>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</si>
  <si>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</si>
  <si>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</si>
  <si>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</si>
  <si>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</si>
  <si>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</si>
  <si>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</si>
  <si>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</si>
  <si>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</si>
  <si>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</si>
  <si>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</si>
  <si>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</si>
  <si>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</si>
  <si>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</si>
  <si>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</si>
  <si>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</si>
  <si>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</si>
  <si>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</si>
  <si>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</si>
  <si>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</si>
  <si>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</si>
  <si>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</si>
  <si>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</si>
  <si>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</si>
  <si>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</si>
  <si>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</si>
  <si>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</si>
  <si>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</si>
  <si>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</si>
  <si>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</si>
  <si>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</si>
  <si>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</si>
  <si>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</si>
  <si>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</si>
  <si>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</si>
  <si>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</si>
  <si>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</si>
  <si>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</si>
  <si>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</si>
  <si>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</si>
  <si>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</si>
  <si>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</si>
  <si>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</si>
  <si>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</si>
  <si>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</si>
  <si>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</si>
  <si>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</si>
  <si>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</si>
  <si>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</si>
  <si>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</si>
  <si>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</si>
  <si>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</si>
  <si>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</si>
  <si>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</si>
  <si>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</si>
  <si>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</si>
  <si>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</si>
  <si>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</si>
  <si>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</si>
  <si>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</si>
  <si>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</si>
  <si>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</si>
  <si>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</si>
  <si>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</si>
  <si>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</si>
  <si>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</si>
  <si>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</si>
  <si>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</si>
  <si>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</si>
  <si>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</si>
  <si>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</si>
  <si>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</si>
  <si>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</si>
  <si>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</si>
  <si>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</si>
  <si>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</si>
  <si>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</si>
  <si>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</si>
  <si>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</si>
  <si>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</si>
  <si>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</si>
  <si>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</si>
  <si>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</si>
  <si>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</si>
  <si>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</si>
  <si>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</si>
  <si>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</si>
  <si>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</si>
  <si>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</si>
  <si>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</si>
  <si>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</si>
  <si>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</si>
  <si>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</si>
  <si>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</si>
  <si>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</si>
  <si>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</si>
  <si>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</si>
  <si>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</si>
  <si>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</si>
  <si>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</si>
  <si>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</si>
  <si>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</si>
  <si>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</si>
  <si>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</si>
  <si>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</si>
  <si>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</si>
  <si>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</si>
  <si>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</si>
  <si>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</si>
  <si>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</si>
  <si>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</si>
  <si>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</si>
  <si>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</si>
  <si>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</si>
  <si>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</si>
  <si>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</si>
  <si>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</si>
  <si>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</si>
  <si>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</si>
  <si>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</si>
  <si>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</si>
  <si>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</si>
  <si>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</si>
  <si>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</si>
  <si>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</si>
  <si>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</si>
  <si>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</si>
  <si>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</si>
  <si>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</si>
  <si>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</si>
  <si>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</si>
  <si>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</si>
  <si>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</si>
  <si>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</si>
  <si>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</si>
  <si>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</si>
  <si>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</si>
  <si>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</si>
  <si>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</si>
  <si>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</si>
  <si>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</si>
  <si>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</si>
  <si>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</si>
  <si>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</si>
  <si>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</si>
  <si>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</si>
  <si>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</si>
  <si>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</si>
  <si>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</si>
  <si>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</si>
  <si>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</si>
  <si>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</si>
  <si>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</si>
  <si>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</si>
  <si>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</si>
  <si>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</si>
  <si>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</si>
  <si>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</si>
  <si>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</si>
  <si>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</si>
  <si>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</si>
  <si>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</si>
  <si>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</si>
  <si>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</si>
  <si>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</si>
  <si>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</si>
  <si>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</si>
  <si>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</si>
  <si>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</si>
  <si>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</si>
  <si>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</si>
  <si>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</si>
  <si>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</si>
  <si>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</si>
  <si>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</si>
  <si>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</si>
  <si>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</si>
  <si>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</si>
  <si>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</si>
  <si>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</si>
  <si>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</si>
  <si>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</si>
  <si>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</si>
  <si>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</si>
  <si>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</si>
  <si>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</si>
  <si>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</si>
  <si>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</si>
  <si>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</si>
  <si>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</si>
  <si>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</si>
  <si>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</si>
  <si>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</si>
  <si>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</si>
  <si>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</si>
  <si>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</si>
  <si>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</si>
  <si>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</si>
  <si>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</si>
  <si>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</si>
  <si>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</si>
  <si>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</si>
  <si>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</si>
  <si>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</si>
  <si>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</si>
  <si>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</si>
  <si>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</si>
  <si>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</si>
  <si>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</si>
  <si>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</si>
  <si>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</si>
  <si>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</si>
  <si>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</si>
  <si>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</si>
  <si>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</si>
  <si>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</si>
  <si>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</si>
  <si>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</si>
  <si>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</si>
  <si>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</si>
  <si>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</si>
  <si>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</si>
  <si>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</si>
  <si>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</si>
  <si>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</si>
  <si>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</si>
  <si>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</si>
  <si>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</si>
  <si>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</si>
  <si>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</si>
  <si>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</si>
  <si>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</si>
  <si>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</si>
  <si>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</si>
  <si>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</si>
  <si>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</si>
  <si>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</si>
  <si>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</si>
  <si>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</si>
  <si>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</si>
  <si>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</si>
  <si>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</si>
  <si>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</si>
  <si>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</si>
  <si>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</si>
  <si>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</si>
  <si>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</si>
  <si>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</si>
  <si>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</si>
  <si>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</si>
  <si>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</si>
  <si>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</si>
  <si>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</si>
  <si>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</si>
  <si>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</si>
  <si>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</si>
  <si>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</si>
  <si>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</si>
  <si>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</si>
  <si>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</si>
  <si>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</si>
  <si>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</si>
  <si>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</si>
  <si>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</si>
  <si>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</si>
  <si>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</si>
  <si>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</si>
  <si>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</si>
  <si>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</si>
  <si>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</si>
  <si>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</si>
  <si>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</si>
  <si>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</si>
  <si>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</si>
  <si>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</si>
  <si>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</si>
  <si>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</si>
  <si>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</si>
  <si>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</si>
  <si>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</si>
  <si>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</si>
  <si>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</si>
  <si>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</si>
  <si>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</si>
  <si>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</si>
  <si>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</si>
  <si>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</si>
  <si>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</si>
  <si>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</si>
  <si>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</si>
  <si>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</si>
  <si>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</si>
  <si>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</si>
  <si>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</si>
  <si>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</si>
  <si>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</si>
  <si>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</si>
  <si>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</si>
  <si>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</si>
  <si>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</si>
  <si>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</si>
  <si>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</si>
  <si>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</si>
  <si>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</si>
  <si>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</si>
  <si>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</si>
  <si>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</si>
  <si>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</si>
  <si>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</si>
  <si>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</si>
  <si>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</si>
  <si>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</si>
  <si>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</si>
  <si>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</si>
  <si>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</si>
  <si>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</si>
  <si>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</si>
  <si>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</si>
  <si>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</si>
  <si>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</si>
  <si>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</si>
  <si>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</si>
  <si>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</si>
  <si>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</si>
  <si>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</si>
  <si>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</si>
  <si>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</si>
  <si>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</si>
  <si>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</si>
  <si>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</si>
  <si>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</si>
  <si>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</si>
  <si>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</si>
  <si>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</si>
  <si>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</si>
  <si>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</si>
  <si>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</si>
  <si>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</si>
  <si>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</si>
  <si>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</si>
  <si>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</si>
  <si>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</si>
  <si>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</si>
  <si>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</si>
  <si>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</si>
  <si>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</si>
  <si>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</si>
  <si>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</si>
  <si>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</si>
  <si>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</si>
  <si>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</si>
  <si>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</si>
  <si>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</si>
  <si>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</si>
  <si>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</si>
  <si>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</si>
  <si>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</si>
  <si>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</si>
  <si>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</si>
  <si>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</si>
  <si>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</si>
  <si>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</si>
  <si>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</si>
  <si>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</si>
  <si>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</si>
  <si>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</si>
  <si>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</si>
  <si>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</si>
  <si>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</si>
  <si>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</si>
  <si>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</si>
  <si>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</si>
  <si>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</si>
  <si>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</si>
  <si>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</si>
  <si>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</si>
  <si>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</si>
  <si>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</si>
  <si>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</si>
  <si>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</si>
  <si>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</si>
  <si>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</si>
  <si>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</si>
  <si>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</si>
  <si>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</si>
  <si>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</si>
  <si>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</si>
  <si>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</si>
  <si>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</si>
  <si>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</si>
  <si>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</si>
  <si>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</si>
  <si>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</si>
  <si>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</si>
  <si>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</si>
  <si>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</si>
  <si>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</si>
  <si>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</si>
  <si>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</si>
  <si>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</si>
  <si>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</si>
  <si>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</si>
  <si>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</si>
  <si>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</si>
  <si>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</si>
  <si>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</si>
  <si>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</si>
  <si>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</si>
  <si>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</si>
  <si>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</si>
  <si>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</si>
  <si>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</si>
  <si>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</si>
  <si>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</si>
  <si>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</si>
  <si>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</si>
  <si>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</si>
  <si>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</si>
  <si>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</si>
  <si>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</si>
  <si>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</si>
  <si>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</si>
  <si>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</si>
  <si>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</si>
  <si>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</si>
  <si>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</si>
  <si>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</si>
  <si>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</si>
  <si>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</si>
  <si>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</si>
  <si>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</si>
  <si>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</si>
  <si>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</si>
  <si>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</si>
  <si>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</si>
  <si>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</si>
  <si>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</si>
  <si>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</si>
  <si>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</si>
  <si>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</si>
  <si>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</si>
  <si>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</si>
  <si>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</si>
  <si>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</si>
  <si>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</si>
  <si>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</si>
  <si>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</si>
  <si>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</si>
  <si>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</si>
  <si>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</si>
  <si>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</si>
  <si>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</si>
  <si>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</si>
  <si>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</si>
  <si>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</si>
  <si>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</si>
  <si>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</si>
  <si>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</si>
  <si>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</si>
  <si>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</si>
  <si>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</si>
  <si>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</si>
  <si>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</si>
  <si>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</si>
  <si>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</si>
  <si>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</si>
  <si>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</si>
  <si>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</si>
  <si>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</si>
  <si>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</si>
  <si>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</si>
  <si>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</si>
  <si>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</si>
  <si>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</si>
  <si>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</si>
  <si>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</si>
  <si>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</si>
  <si>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</si>
  <si>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</si>
  <si>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</si>
  <si>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</si>
  <si>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</si>
  <si>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</si>
  <si>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</si>
  <si>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</si>
  <si>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</si>
  <si>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</si>
  <si>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</si>
  <si>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</si>
  <si>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</si>
  <si>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</si>
  <si>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</si>
  <si>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</si>
  <si>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</si>
  <si>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</si>
  <si>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</si>
  <si>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</si>
  <si>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</si>
  <si>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</si>
  <si>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</si>
  <si>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</si>
  <si>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</si>
  <si>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</si>
  <si>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</si>
  <si>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</si>
  <si>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</si>
  <si>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</si>
  <si>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</si>
  <si>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</si>
  <si>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</si>
  <si>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</si>
  <si>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</si>
  <si>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</si>
  <si>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</si>
  <si>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</si>
  <si>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</si>
  <si>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</si>
  <si>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</si>
  <si>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</si>
  <si>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</si>
  <si>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</si>
  <si>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</si>
  <si>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</si>
  <si>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</si>
  <si>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</si>
  <si>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</si>
  <si>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</si>
  <si>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</si>
  <si>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</si>
  <si>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</si>
  <si>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</si>
  <si>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</si>
  <si>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</si>
  <si>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</si>
  <si>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</si>
  <si>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</si>
  <si>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</si>
  <si>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</si>
  <si>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</si>
  <si>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</si>
  <si>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</si>
  <si>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</si>
  <si>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</si>
  <si>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</si>
  <si>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</si>
  <si>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</si>
  <si>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</si>
  <si>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</si>
  <si>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</si>
  <si>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</si>
  <si>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</si>
  <si>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</si>
  <si>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</si>
  <si>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</si>
  <si>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</si>
  <si>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</si>
  <si>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</si>
  <si>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</si>
  <si>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</si>
  <si>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</si>
  <si>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</si>
  <si>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</si>
  <si>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</si>
  <si>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</si>
  <si>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</si>
  <si>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</si>
  <si>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</si>
  <si>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</si>
  <si>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</si>
  <si>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</si>
  <si>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</si>
  <si>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</si>
  <si>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</si>
  <si>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</si>
  <si>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</si>
  <si>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</si>
  <si>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</si>
  <si>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</si>
  <si>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</si>
  <si>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</si>
  <si>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</si>
  <si>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</si>
  <si>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</si>
  <si>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</si>
  <si>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</si>
  <si>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</si>
  <si>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</si>
  <si>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</si>
  <si>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</si>
  <si>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</si>
  <si>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</si>
  <si>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</si>
  <si>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</si>
  <si>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</si>
  <si>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</si>
  <si>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</si>
  <si>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</si>
  <si>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</si>
  <si>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</si>
  <si>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</si>
  <si>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</si>
  <si>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</si>
  <si>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</si>
  <si>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</si>
  <si>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</si>
  <si>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</si>
  <si>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</si>
  <si>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</si>
  <si>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</si>
  <si>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</si>
  <si>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</si>
  <si>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</si>
  <si>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</si>
  <si>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</si>
  <si>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</si>
  <si>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</si>
  <si>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</si>
  <si>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</si>
  <si>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</si>
  <si>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</si>
  <si>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</si>
  <si>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</si>
  <si>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</si>
  <si>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</si>
  <si>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</si>
  <si>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</si>
  <si>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</si>
  <si>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</si>
  <si>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</si>
  <si>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</si>
  <si>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</si>
  <si>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</si>
  <si>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</si>
  <si>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</si>
  <si>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</si>
  <si>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</si>
  <si>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</si>
  <si>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</si>
  <si>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</si>
  <si>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</si>
  <si>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</si>
  <si>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</si>
  <si>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</si>
  <si>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</si>
  <si>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</si>
  <si>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</si>
  <si>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</si>
  <si>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</si>
  <si>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</si>
  <si>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</si>
  <si>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</si>
  <si>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</si>
  <si>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</si>
  <si>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</si>
  <si>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</si>
  <si>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</si>
  <si>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</si>
  <si>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</si>
  <si>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</si>
  <si>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</si>
  <si>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</si>
  <si>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</si>
  <si>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</si>
  <si>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</si>
  <si>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</si>
  <si>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</si>
  <si>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</si>
  <si>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</si>
  <si>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</si>
  <si>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</si>
  <si>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</si>
  <si>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</si>
  <si>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</si>
  <si>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</si>
  <si>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</si>
  <si>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</si>
  <si>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</si>
  <si>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</si>
  <si>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</si>
  <si>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</si>
  <si>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</si>
  <si>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</si>
  <si>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</si>
  <si>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</si>
  <si>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</si>
  <si>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</si>
  <si>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</si>
  <si>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</si>
  <si>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</si>
  <si>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</si>
  <si>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</si>
  <si>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</si>
  <si>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</si>
  <si>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</si>
  <si>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</si>
  <si>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</si>
  <si>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</si>
  <si>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</si>
  <si>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</si>
  <si>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</si>
  <si>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</si>
  <si>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</si>
  <si>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</si>
  <si>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</si>
  <si>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</si>
  <si>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</si>
  <si>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</si>
  <si>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</si>
  <si>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</si>
  <si>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</si>
  <si>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</si>
  <si>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</si>
  <si>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</si>
  <si>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</si>
  <si>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</si>
  <si>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</si>
  <si>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</si>
  <si>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</si>
  <si>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</si>
  <si>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</si>
  <si>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</si>
  <si>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</si>
  <si>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</si>
  <si>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</si>
  <si>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</si>
  <si>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</si>
  <si>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</si>
  <si>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</si>
  <si>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</si>
  <si>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</si>
  <si>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</si>
  <si>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</si>
  <si>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</si>
  <si>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</si>
  <si>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</si>
  <si>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</si>
  <si>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</si>
  <si>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</si>
  <si>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</si>
  <si>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</si>
  <si>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</si>
  <si>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</si>
  <si>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</si>
  <si>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</si>
  <si>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</si>
  <si>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</si>
  <si>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</si>
  <si>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</si>
  <si>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</si>
  <si>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</si>
  <si>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</si>
  <si>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</si>
  <si>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</si>
  <si>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</si>
  <si>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</si>
  <si>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</si>
  <si>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</si>
  <si>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</si>
  <si>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</si>
  <si>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</si>
  <si>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</si>
  <si>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</si>
  <si>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</si>
  <si>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</si>
  <si>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</si>
  <si>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</si>
  <si>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</si>
  <si>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</si>
  <si>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</si>
  <si>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</si>
  <si>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</si>
  <si>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</si>
  <si>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</si>
  <si>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</si>
  <si>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</si>
  <si>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</si>
  <si>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</si>
  <si>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</si>
  <si>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</si>
  <si>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</si>
  <si>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</si>
  <si>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</si>
  <si>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</si>
  <si>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</si>
  <si>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</si>
  <si>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</si>
  <si>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</si>
  <si>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</si>
  <si>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</si>
  <si>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</si>
  <si>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</si>
  <si>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</si>
  <si>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</si>
  <si>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</si>
  <si>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</si>
  <si>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</si>
  <si>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</si>
  <si>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</si>
  <si>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</si>
  <si>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</si>
  <si>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</si>
  <si>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</si>
  <si>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</si>
  <si>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</si>
  <si>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</si>
  <si>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</si>
  <si>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</si>
  <si>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</si>
  <si>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</si>
  <si>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</si>
  <si>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</si>
  <si>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</si>
  <si>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</si>
  <si>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</si>
  <si>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</si>
  <si>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</si>
  <si>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</si>
  <si>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</si>
  <si>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</si>
  <si>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</si>
  <si>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</si>
  <si>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</si>
  <si>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</si>
  <si>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</si>
  <si>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</si>
  <si>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</si>
  <si>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</si>
  <si>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</si>
  <si>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</si>
  <si>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</si>
  <si>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</si>
  <si>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</si>
  <si>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</si>
  <si>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</si>
  <si>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</si>
  <si>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</si>
  <si>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</si>
  <si>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</si>
  <si>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</si>
  <si>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</si>
  <si>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</si>
  <si>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</si>
  <si>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</si>
  <si>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</si>
  <si>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</si>
  <si>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</si>
  <si>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</si>
  <si>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</si>
  <si>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</si>
  <si>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</si>
  <si>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</si>
  <si>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</si>
  <si>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</si>
  <si>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</si>
  <si>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</si>
  <si>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</si>
  <si>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</si>
  <si>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</si>
  <si>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</si>
  <si>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</si>
  <si>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</si>
  <si>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</si>
  <si>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</si>
  <si>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</si>
  <si>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</si>
  <si>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</si>
  <si>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</si>
  <si>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</si>
  <si>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</si>
  <si>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</si>
  <si>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</si>
  <si>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</si>
  <si>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</si>
  <si>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</si>
  <si>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</si>
  <si>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</si>
  <si>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</si>
  <si>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</si>
  <si>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</si>
  <si>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</si>
  <si>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</si>
  <si>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</si>
  <si>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</si>
  <si>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</si>
  <si>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</si>
  <si>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</si>
  <si>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</si>
  <si>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</si>
  <si>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</si>
  <si>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</si>
  <si>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</si>
  <si>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</si>
  <si>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</si>
  <si>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</si>
  <si>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</si>
  <si>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</si>
  <si>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</si>
  <si>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</si>
  <si>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</si>
  <si>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</si>
  <si>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</si>
  <si>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</si>
  <si>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</si>
  <si>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</si>
  <si>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</si>
  <si>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</si>
  <si>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</si>
  <si>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</si>
  <si>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</si>
  <si>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</si>
  <si>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</si>
  <si>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</si>
  <si>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</si>
  <si>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</si>
  <si>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</si>
  <si>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</si>
  <si>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</si>
  <si>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</si>
  <si>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</si>
  <si>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</si>
  <si>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</si>
  <si>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</si>
  <si>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</si>
  <si>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</si>
  <si>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</si>
  <si>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</si>
  <si>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</si>
  <si>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</si>
  <si>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</si>
  <si>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</si>
  <si>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</si>
  <si>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</si>
  <si>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</si>
  <si>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</si>
  <si>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</si>
  <si>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</si>
  <si>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</si>
  <si>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</si>
  <si>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</si>
  <si>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</si>
  <si>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</si>
  <si>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</si>
  <si>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</si>
  <si>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</si>
  <si>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</si>
  <si>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</si>
  <si>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</si>
  <si>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</si>
  <si>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</si>
  <si>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</si>
  <si>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</si>
  <si>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</si>
  <si>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</si>
  <si>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</si>
  <si>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</si>
  <si>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</si>
  <si>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</si>
  <si>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</si>
  <si>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</si>
  <si>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</si>
  <si>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</si>
  <si>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</si>
  <si>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</si>
  <si>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</si>
  <si>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</si>
  <si>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</si>
  <si>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</si>
  <si>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</si>
  <si>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</si>
  <si>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</si>
  <si>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</si>
  <si>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</si>
  <si>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</si>
  <si>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</si>
  <si>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</si>
  <si>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</si>
  <si>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</si>
  <si>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</si>
  <si>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</si>
  <si>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</si>
  <si>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</si>
  <si>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</si>
  <si>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</si>
  <si>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</si>
  <si>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</si>
  <si>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</si>
  <si>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</si>
  <si>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</si>
  <si>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</si>
  <si>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</si>
  <si>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</si>
  <si>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</si>
  <si>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</si>
  <si>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</si>
  <si>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</si>
  <si>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</si>
  <si>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</si>
  <si>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</si>
  <si>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</si>
  <si>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</si>
  <si>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</si>
  <si>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</si>
  <si>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</si>
  <si>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</si>
  <si>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</si>
  <si>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</si>
  <si>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</si>
  <si>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</si>
  <si>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</si>
  <si>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</si>
  <si>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</si>
  <si>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</si>
  <si>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</si>
  <si>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</si>
  <si>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</si>
  <si>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</si>
  <si>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</si>
  <si>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</si>
  <si>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</si>
  <si>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</si>
  <si>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</si>
  <si>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</si>
  <si>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</si>
  <si>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</si>
  <si>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</si>
  <si>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</si>
  <si>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</si>
  <si>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</si>
  <si>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</si>
  <si>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</si>
  <si>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</si>
  <si>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</si>
  <si>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</si>
  <si>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</si>
  <si>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</si>
  <si>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</si>
  <si>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</si>
  <si>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</si>
  <si>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</si>
  <si>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</si>
  <si>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</si>
  <si>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</si>
  <si>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</si>
  <si>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</si>
  <si>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</si>
  <si>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</si>
  <si>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</si>
  <si>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</si>
  <si>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</si>
  <si>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</si>
  <si>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</si>
  <si>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</si>
  <si>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</si>
  <si>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</si>
  <si>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</si>
  <si>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</si>
  <si>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</si>
  <si>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</si>
  <si>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</si>
  <si>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</si>
  <si>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</si>
  <si>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</si>
  <si>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</si>
  <si>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</si>
  <si>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</si>
  <si>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</si>
  <si>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</si>
  <si>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</si>
  <si>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</si>
  <si>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</si>
  <si>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</si>
  <si>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</si>
  <si>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</si>
  <si>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</si>
  <si>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</si>
  <si>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</si>
  <si>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</si>
  <si>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</si>
  <si>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</si>
  <si>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</si>
  <si>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</si>
  <si>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</si>
  <si>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</si>
  <si>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</si>
  <si>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</si>
  <si>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</si>
  <si>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</si>
  <si>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</si>
  <si>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</si>
  <si>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</si>
  <si>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</si>
  <si>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</si>
  <si>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</si>
  <si>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</si>
  <si>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</si>
  <si>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</si>
  <si>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</si>
  <si>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</si>
  <si>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</si>
  <si>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</si>
  <si>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</si>
  <si>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</si>
  <si>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</si>
  <si>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</si>
  <si>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</si>
  <si>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</si>
  <si>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</si>
  <si>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</si>
  <si>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</si>
  <si>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</si>
  <si>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</si>
  <si>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</si>
  <si>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</si>
  <si>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</si>
  <si>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</si>
  <si>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</si>
  <si>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</si>
  <si>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</si>
  <si>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</si>
  <si>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</si>
  <si>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</si>
  <si>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</si>
  <si>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</si>
  <si>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</si>
  <si>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</si>
  <si>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</si>
  <si>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</si>
  <si>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</si>
  <si>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</si>
  <si>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</si>
  <si>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</si>
  <si>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</si>
  <si>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</si>
  <si>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</si>
  <si>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</si>
  <si>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</si>
  <si>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</si>
  <si>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</si>
  <si>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</si>
  <si>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</si>
  <si>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</si>
  <si>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</si>
  <si>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</si>
  <si>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</si>
  <si>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</si>
  <si>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</si>
  <si>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</si>
  <si>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</si>
  <si>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</si>
  <si>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</si>
  <si>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</si>
  <si>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</si>
  <si>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</si>
  <si>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</si>
  <si>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</si>
  <si>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</si>
  <si>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</si>
  <si>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</si>
  <si>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</si>
  <si>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</si>
  <si>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</si>
  <si>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</si>
  <si>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</si>
  <si>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</si>
  <si>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</si>
  <si>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</si>
  <si>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</si>
  <si>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</si>
  <si>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</si>
  <si>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</si>
  <si>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</si>
  <si>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</si>
  <si>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</si>
  <si>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</si>
  <si>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</si>
  <si>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</si>
  <si>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</si>
  <si>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</si>
  <si>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</si>
  <si>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</si>
  <si>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</si>
  <si>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</si>
  <si>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</si>
  <si>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</si>
  <si>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</si>
  <si>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</si>
  <si>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</si>
  <si>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</si>
  <si>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</si>
  <si>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</si>
  <si>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</si>
  <si>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</si>
  <si>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</si>
  <si>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</si>
  <si>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</si>
  <si>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</si>
  <si>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</si>
  <si>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</si>
  <si>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</si>
  <si>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</si>
  <si>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</si>
  <si>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</si>
  <si>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</si>
  <si>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</si>
  <si>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</si>
  <si>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</si>
  <si>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</si>
  <si>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</si>
  <si>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</si>
  <si>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</si>
  <si>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</si>
  <si>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</si>
  <si>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</si>
  <si>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</si>
  <si>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</si>
  <si>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</si>
  <si>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</si>
  <si>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</si>
  <si>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</si>
  <si>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</si>
  <si>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</si>
  <si>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</si>
  <si>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</si>
  <si>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</si>
  <si>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</si>
  <si>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</si>
  <si>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</si>
  <si>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</si>
  <si>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</si>
  <si>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</si>
  <si>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</si>
  <si>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</si>
  <si>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</si>
  <si>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</si>
  <si>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</si>
  <si>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</si>
  <si>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</si>
  <si>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</si>
  <si>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</si>
  <si>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</si>
  <si>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</si>
  <si>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</si>
  <si>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</si>
  <si>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</si>
  <si>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</si>
  <si>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</si>
  <si>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</si>
  <si>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</si>
  <si>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</si>
  <si>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</si>
  <si>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</si>
  <si>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</si>
  <si>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</si>
  <si>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</si>
  <si>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</si>
  <si>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</si>
  <si>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</si>
  <si>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</si>
  <si>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</si>
  <si>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</si>
  <si>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</si>
  <si>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</si>
  <si>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</si>
  <si>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</si>
  <si>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</si>
  <si>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</si>
  <si>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</si>
  <si>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</si>
  <si>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</si>
  <si>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</si>
  <si>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</si>
  <si>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</si>
  <si>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</si>
  <si>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</si>
  <si>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</si>
  <si>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</si>
  <si>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</si>
  <si>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</si>
  <si>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</si>
  <si>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</si>
  <si>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</si>
  <si>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</si>
  <si>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</si>
  <si>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</si>
  <si>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</si>
  <si>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</si>
  <si>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</si>
  <si>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</si>
  <si>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</si>
  <si>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</si>
  <si>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</si>
  <si>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</si>
  <si>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</si>
  <si>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</si>
  <si>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</si>
  <si>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</si>
  <si>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</si>
  <si>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</si>
  <si>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</si>
  <si>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</si>
  <si>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</si>
  <si>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</si>
  <si>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</si>
  <si>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</si>
  <si>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</si>
  <si>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</si>
  <si>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</si>
  <si>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</si>
  <si>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</si>
  <si>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</si>
  <si>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</si>
  <si>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</si>
  <si>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</si>
  <si>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</si>
  <si>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</si>
  <si>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</si>
  <si>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</si>
  <si>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</si>
  <si>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</si>
  <si>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</si>
  <si>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</si>
  <si>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</si>
  <si>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</si>
  <si>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</si>
  <si>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</si>
  <si>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</si>
  <si>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</si>
  <si>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</si>
  <si>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</si>
  <si>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</si>
  <si>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</si>
  <si>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</si>
  <si>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</si>
  <si>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</si>
  <si>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</si>
  <si>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</si>
  <si>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</si>
  <si>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</si>
  <si>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</si>
  <si>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</si>
  <si>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</si>
  <si>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</si>
  <si>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</si>
  <si>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</si>
  <si>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</si>
  <si>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</si>
  <si>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</si>
  <si>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</si>
  <si>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</si>
  <si>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</si>
  <si>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</si>
  <si>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</si>
  <si>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</si>
  <si>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</si>
  <si>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</si>
  <si>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</si>
  <si>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</si>
  <si>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</si>
  <si>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</si>
  <si>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</si>
  <si>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</si>
  <si>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</si>
  <si>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</si>
  <si>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</si>
  <si>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</si>
  <si>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</si>
  <si>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</si>
  <si>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</si>
  <si>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</si>
  <si>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</si>
  <si>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</si>
  <si>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</si>
  <si>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</si>
  <si>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</si>
  <si>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</si>
  <si>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</si>
  <si>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</si>
  <si>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</si>
  <si>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</si>
  <si>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</si>
  <si>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</si>
  <si>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</si>
  <si>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</si>
  <si>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</si>
  <si>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</si>
  <si>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</si>
  <si>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</si>
  <si>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</si>
  <si>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</si>
  <si>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</si>
  <si>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</si>
  <si>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</si>
  <si>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</si>
  <si>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</si>
  <si>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</si>
  <si>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</si>
  <si>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</si>
  <si>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</si>
  <si>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</si>
  <si>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</si>
  <si>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</si>
  <si>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</si>
  <si>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</si>
  <si>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</si>
  <si>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</si>
  <si>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</si>
  <si>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</si>
  <si>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</si>
  <si>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</si>
  <si>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</si>
  <si>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</si>
  <si>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</si>
  <si>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</si>
  <si>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</si>
  <si>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</si>
  <si>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</si>
  <si>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</si>
  <si>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</si>
  <si>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</si>
  <si>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</si>
  <si>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</si>
  <si>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</si>
  <si>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</si>
  <si>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</si>
  <si>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</si>
  <si>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</si>
  <si>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</si>
  <si>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</si>
  <si>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</si>
  <si>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</si>
  <si>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</si>
  <si>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</si>
  <si>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</si>
  <si>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</si>
  <si>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</si>
  <si>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</si>
  <si>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</si>
  <si>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</si>
  <si>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</si>
  <si>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</si>
  <si>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</si>
  <si>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</si>
  <si>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</si>
  <si>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</si>
  <si>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</si>
  <si>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</si>
  <si>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</si>
  <si>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</si>
  <si>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</si>
  <si>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</si>
  <si>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</si>
  <si>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</si>
  <si>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</si>
  <si>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</si>
  <si>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</si>
  <si>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</si>
  <si>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</si>
  <si>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</si>
  <si>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</si>
  <si>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</si>
  <si>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</si>
  <si>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</si>
  <si>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</si>
  <si>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</si>
  <si>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</si>
  <si>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</si>
  <si>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</si>
  <si>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</si>
  <si>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</si>
  <si>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</si>
  <si>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</si>
  <si>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</si>
  <si>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</si>
  <si>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</si>
  <si>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</si>
  <si>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</si>
  <si>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</si>
  <si>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</si>
  <si>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</si>
  <si>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</si>
  <si>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</si>
  <si>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</si>
  <si>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</si>
  <si>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</si>
  <si>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</si>
  <si>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</si>
  <si>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</si>
  <si>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</si>
  <si>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</si>
  <si>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</si>
  <si>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</si>
  <si>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</si>
  <si>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</si>
  <si>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</si>
  <si>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</si>
  <si>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</si>
  <si>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</si>
  <si>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</si>
  <si>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</si>
  <si>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</si>
  <si>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</si>
  <si>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</si>
  <si>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</si>
  <si>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</si>
  <si>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</si>
  <si>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</si>
  <si>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</si>
  <si>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</si>
  <si>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</si>
  <si>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</si>
  <si>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</si>
  <si>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</si>
  <si>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</si>
  <si>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</si>
  <si>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</si>
  <si>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</si>
  <si>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</si>
  <si>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</si>
  <si>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</si>
  <si>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</si>
  <si>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</si>
  <si>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</si>
  <si>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</si>
  <si>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</si>
  <si>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</si>
  <si>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</si>
  <si>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</si>
  <si>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</si>
  <si>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</si>
  <si>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</si>
  <si>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</si>
  <si>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</si>
  <si>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</si>
  <si>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</si>
  <si>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</si>
  <si>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</si>
  <si>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</si>
  <si>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</si>
  <si>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</si>
  <si>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</si>
  <si>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</si>
  <si>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</si>
  <si>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</si>
  <si>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</si>
  <si>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</si>
  <si>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</si>
  <si>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</si>
  <si>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</si>
  <si>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</si>
  <si>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</si>
  <si>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</si>
  <si>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</si>
  <si>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</si>
  <si>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</si>
  <si>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</si>
  <si>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</si>
  <si>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</si>
  <si>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</si>
  <si>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</si>
  <si>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</si>
  <si>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</si>
  <si>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</si>
  <si>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</si>
  <si>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</si>
  <si>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</si>
  <si>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</si>
  <si>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</si>
  <si>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</si>
  <si>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</si>
  <si>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</si>
  <si>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</si>
  <si>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</si>
  <si>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</si>
  <si>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</si>
  <si>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</si>
  <si>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</si>
  <si>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</si>
  <si>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</si>
  <si>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</si>
  <si>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</si>
  <si>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</si>
  <si>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</si>
  <si>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</si>
  <si>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</si>
  <si>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</si>
  <si>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</si>
  <si>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</si>
  <si>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</si>
  <si>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</si>
  <si>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</si>
  <si>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</si>
  <si>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</si>
  <si>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</si>
  <si>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</si>
  <si>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</si>
  <si>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</si>
  <si>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</si>
  <si>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</si>
  <si>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</si>
  <si>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</si>
  <si>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</si>
  <si>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</si>
  <si>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</si>
  <si>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</si>
  <si>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</si>
  <si>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</si>
  <si>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</si>
  <si>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</si>
  <si>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</si>
  <si>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</si>
  <si>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</si>
  <si>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</si>
  <si>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</si>
  <si>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</si>
  <si>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</si>
  <si>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</si>
  <si>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</si>
  <si>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</si>
  <si>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</si>
  <si>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</si>
  <si>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</si>
  <si>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</si>
  <si>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</si>
  <si>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</si>
  <si>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</si>
  <si>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</si>
  <si>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</si>
  <si>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</si>
  <si>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</si>
  <si>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</si>
  <si>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</si>
  <si>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</si>
  <si>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</si>
  <si>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</si>
  <si>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</si>
  <si>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</si>
  <si>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</si>
  <si>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</si>
  <si>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</si>
  <si>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</si>
  <si>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</si>
  <si>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</si>
  <si>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</si>
  <si>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</si>
  <si>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</si>
  <si>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</si>
  <si>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</si>
  <si>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</si>
  <si>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</si>
  <si>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</si>
  <si>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</si>
  <si>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</si>
  <si>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</si>
  <si>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</si>
  <si>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</si>
  <si>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</si>
  <si>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</si>
  <si>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</si>
  <si>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</si>
  <si>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</si>
  <si>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</si>
  <si>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</si>
  <si>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</si>
  <si>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</si>
  <si>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</si>
  <si>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</si>
  <si>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</si>
  <si>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</si>
  <si>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</si>
  <si>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</si>
  <si>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</si>
  <si>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</si>
  <si>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</si>
  <si>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</si>
  <si>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</si>
  <si>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</si>
  <si>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</si>
  <si>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</si>
  <si>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</si>
  <si>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</si>
  <si>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</si>
  <si>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</si>
  <si>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</si>
  <si>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</si>
  <si>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</si>
  <si>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</si>
  <si>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</si>
  <si>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</si>
  <si>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</si>
  <si>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</si>
  <si>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</si>
  <si>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</si>
  <si>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</si>
  <si>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</si>
  <si>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</si>
  <si>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</si>
  <si>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</si>
  <si>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</si>
  <si>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</si>
  <si>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</si>
  <si>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</si>
  <si>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</si>
  <si>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</si>
  <si>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</si>
  <si>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</si>
  <si>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</si>
  <si>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</si>
  <si>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</si>
  <si>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</si>
  <si>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</si>
  <si>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</si>
  <si>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</si>
  <si>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</si>
  <si>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</si>
  <si>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</si>
  <si>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</si>
  <si>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</si>
  <si>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</si>
  <si>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</si>
  <si>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</si>
  <si>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</si>
  <si>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</si>
  <si>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</si>
  <si>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</si>
  <si>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</si>
  <si>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</si>
  <si>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</si>
  <si>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</si>
  <si>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</si>
  <si>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</si>
  <si>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</si>
  <si>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</si>
  <si>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</si>
  <si>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</si>
  <si>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</si>
  <si>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</si>
  <si>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</si>
  <si>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</si>
  <si>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</si>
  <si>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</si>
  <si>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</si>
  <si>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</si>
  <si>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</si>
  <si>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</si>
  <si>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</si>
  <si>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</si>
  <si>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</si>
  <si>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</si>
  <si>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</si>
  <si>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</si>
  <si>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</si>
  <si>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</si>
  <si>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</si>
  <si>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</si>
  <si>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</si>
  <si>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</si>
  <si>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</si>
  <si>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</si>
  <si>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</si>
  <si>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</si>
  <si>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</si>
  <si>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</si>
  <si>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</si>
  <si>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</si>
  <si>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</si>
  <si>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</si>
  <si>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</si>
  <si>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</si>
  <si>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</si>
  <si>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</si>
  <si>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</si>
  <si>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</si>
  <si>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</si>
  <si>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</si>
  <si>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</si>
  <si>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</si>
  <si>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</si>
  <si>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</si>
  <si>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</si>
  <si>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</si>
  <si>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</si>
  <si>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</si>
  <si>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</si>
  <si>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</si>
  <si>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</si>
  <si>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</si>
  <si>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</si>
  <si>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</si>
  <si>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</si>
  <si>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</si>
  <si>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</si>
  <si>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</si>
  <si>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</si>
  <si>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</si>
  <si>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</si>
  <si>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</si>
  <si>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</si>
  <si>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</si>
  <si>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</si>
  <si>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</si>
  <si>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</si>
  <si>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</si>
  <si>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</si>
  <si>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</si>
  <si>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</si>
  <si>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</si>
  <si>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</si>
  <si>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</si>
  <si>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</si>
  <si>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</si>
  <si>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</si>
  <si>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</si>
  <si>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</si>
  <si>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</si>
  <si>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</si>
  <si>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</si>
  <si>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</si>
  <si>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</si>
  <si>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</si>
  <si>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</si>
  <si>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</si>
  <si>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</si>
  <si>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</si>
  <si>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</si>
  <si>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</si>
  <si>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</si>
  <si>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</si>
  <si>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</si>
  <si>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</si>
  <si>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</si>
  <si>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</si>
  <si>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</si>
  <si>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</si>
  <si>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</si>
  <si>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</si>
  <si>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</si>
  <si>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</si>
  <si>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</si>
  <si>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</si>
  <si>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</si>
  <si>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</si>
  <si>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</si>
  <si>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</si>
  <si>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</si>
  <si>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</si>
  <si>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</si>
  <si>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</si>
  <si>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</si>
  <si>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</si>
  <si>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</si>
  <si>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</si>
  <si>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</si>
  <si>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</si>
  <si>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</si>
  <si>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</si>
  <si>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</si>
  <si>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</si>
  <si>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</si>
  <si>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</si>
  <si>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</si>
  <si>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</si>
  <si>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</si>
  <si>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</si>
  <si>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</si>
  <si>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</si>
  <si>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</si>
  <si>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</si>
  <si>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</si>
  <si>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</si>
  <si>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</si>
  <si>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</si>
  <si>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</si>
  <si>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</si>
  <si>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</si>
  <si>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</si>
  <si>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</si>
  <si>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</si>
  <si>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</si>
  <si>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</si>
  <si>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</si>
  <si>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</si>
  <si>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</si>
  <si>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</si>
  <si>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</si>
  <si>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</si>
  <si>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</si>
  <si>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</si>
  <si>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</si>
  <si>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</si>
  <si>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</si>
  <si>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</si>
  <si>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</si>
  <si>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</si>
  <si>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</si>
  <si>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</si>
  <si>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</si>
  <si>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</si>
  <si>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</si>
  <si>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</si>
  <si>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</si>
  <si>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</si>
  <si>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</si>
  <si>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</si>
  <si>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</si>
  <si>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</si>
  <si>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</si>
  <si>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</si>
  <si>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</si>
  <si>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</si>
  <si>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</si>
  <si>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</si>
  <si>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</si>
  <si>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Inventronics GmbH and Affiliates</t>
  </si>
  <si>
    <t>Angela Garzieri</t>
  </si>
  <si>
    <t>a.garzieri@inventronicsglobal.com</t>
  </si>
  <si>
    <t>+39 0422 290</t>
  </si>
  <si>
    <t>Luca Bordin</t>
  </si>
  <si>
    <t>l.birdin@inventronicsglobal.com</t>
  </si>
  <si>
    <t>100%</t>
  </si>
  <si>
    <t>https://www.inventronics-light.com/sustainability#product_stewardship</t>
  </si>
  <si>
    <t>Conformant</t>
  </si>
  <si>
    <t>Monitor RMI for Changes in the Status</t>
  </si>
  <si>
    <t>In Communication</t>
  </si>
  <si>
    <t>Contact the suppliers to conduct Due dilligence Activities and to transition away the smelter or to convince the smelter to be conformant to RMAP</t>
  </si>
  <si>
    <t>Non Conformant</t>
  </si>
  <si>
    <t>RMI Due Diligence Review - Unable to Proceed</t>
  </si>
  <si>
    <t>Active</t>
  </si>
  <si>
    <t>CID003252</t>
  </si>
  <si>
    <t>Nanjing Hanrui Cobalt</t>
  </si>
  <si>
    <t>Outreach Required</t>
  </si>
  <si>
    <t>CID003279</t>
  </si>
  <si>
    <t>Mine de Bou-Azzer</t>
  </si>
  <si>
    <t>Tazenakht</t>
  </si>
  <si>
    <t>Jiangxi Jiangwu Cobalt industrial Co., Ltd.</t>
  </si>
  <si>
    <t>Aust-Agder</t>
  </si>
  <si>
    <t>CID003426</t>
  </si>
  <si>
    <t>SOCIETE MINIERE DU KATANGA (SOMIKA SARL)</t>
  </si>
  <si>
    <t>CID003447</t>
  </si>
  <si>
    <t>Yichun</t>
  </si>
  <si>
    <t>CID003465</t>
  </si>
  <si>
    <t>Ningbo Hubang New Material Co., Ltd.</t>
  </si>
  <si>
    <t>CID003472</t>
  </si>
  <si>
    <t>Jervois Finland OY</t>
  </si>
  <si>
    <t>Central Ostrobothnia</t>
  </si>
  <si>
    <t>Communication Suspended - Not Interested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</si>
</sst>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0" fontId="114" fillId="45" borderId="56" xfId="83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nventronics-light.com/sustainability" TargetMode="External"/><Relationship Id="rId2" Type="http://schemas.openxmlformats.org/officeDocument/2006/relationships/hyperlink" Target="mailto:l.birdin@inventronicsglobal.com" TargetMode="External"/><Relationship Id="rId1" Type="http://schemas.openxmlformats.org/officeDocument/2006/relationships/hyperlink" Target="mailto:a.garzieri@inventronicsgloba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55" zoomScaleNormal="55"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CDC0A2C-A5EB-4FFE-A4DF-84DBC0B75CD3}"/>
    </customSheetView>
    <customSheetView guid="{4BDF1A28-30D5-449D-B20E-D6C97EF9FAE1}" showAutoFilter="1">
      <selection activeCell="C174" sqref="C174"/>
      <pageMargins left="0" right="0" top="0" bottom="0" header="0" footer="0"/>
      <pageSetup paperSize="9" orientation="portrait"/>
      <autoFilter ref="B1:N1" xr:uid="{9BB53CAB-E64E-487B-96E4-98EC49963F1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A9619B0-482A-4D5B-A45D-35BED508FF2A}"/>
    </customSheetView>
    <customSheetView guid="{4BDF1A28-30D5-449D-B20E-D6C97EF9FAE1}" showAutoFilter="1">
      <selection activeCell="C1" sqref="C1:D65536"/>
      <pageMargins left="0" right="0" top="0" bottom="0" header="0" footer="0"/>
      <pageSetup orientation="portrait"/>
      <autoFilter ref="B1:C1" xr:uid="{CC1C41BB-6E7C-4F6D-BE0A-8AC2B644E37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25" zoomScaleNormal="100" workbookViewId="0">
      <selection activeCell="D137" sqref="D137:E13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3"/>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0"/>
      <c r="F3" s="421"/>
      <c r="G3" s="421"/>
      <c r="H3" s="421"/>
      <c r="I3" s="421"/>
      <c r="J3" s="190" t="s">
        <v>19342</v>
      </c>
      <c r="K3" s="29"/>
      <c r="L3" s="102"/>
      <c r="P3" s="38">
        <f>MATCH($D$3,LN,0)</f>
        <v>1</v>
      </c>
    </row>
    <row r="4" spans="1:34" ht="16.2">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6.2">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1" t="s">
        <v>20051</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6" t="s">
        <v>19</v>
      </c>
      <c r="E9" s="427"/>
      <c r="F9" s="427"/>
      <c r="G9" s="42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6.2">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8" t="s">
        <v>19145</v>
      </c>
      <c r="AB11" s="2"/>
      <c r="AC11" s="2"/>
      <c r="AD11" s="2"/>
      <c r="AE11" s="2"/>
      <c r="AF11" s="2"/>
      <c r="AG11" s="2"/>
      <c r="AH11" s="2"/>
    </row>
    <row r="12" spans="1:34" ht="16.2">
      <c r="A12" s="31"/>
      <c r="B12" s="455" t="str">
        <f ca="1">OFFSET(L!$C$1,MATCH("Declaration"&amp;ADDRESS(ROW(),COLUMN(),4),L!$A:$A,0)-1,SL,,)</f>
        <v>Select Minerals/Metals in Scope (*):</v>
      </c>
      <c r="C12" s="112"/>
      <c r="D12" s="372" t="s">
        <v>40</v>
      </c>
      <c r="E12" s="457" t="s">
        <v>19147</v>
      </c>
      <c r="F12" s="458"/>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6" t="e">
        <f ca="1">OFFSET(L!$C$1,MATCH("Declaration"&amp;ADDRESS(ROW(),COLUMN(),4),L!$A:$A,0)-1,SL,,)</f>
        <v>#N/A</v>
      </c>
      <c r="C13" s="112"/>
      <c r="D13" s="372" t="s">
        <v>19149</v>
      </c>
      <c r="E13" s="457" t="s">
        <v>41</v>
      </c>
      <c r="F13" s="458"/>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6.2" hidden="1">
      <c r="A14" s="31"/>
      <c r="B14" s="459"/>
      <c r="C14" s="112"/>
      <c r="D14" s="298"/>
      <c r="E14" s="461"/>
      <c r="F14" s="462"/>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6.2" hidden="1">
      <c r="A15" s="31"/>
      <c r="B15" s="460"/>
      <c r="C15" s="112"/>
      <c r="D15" s="298"/>
      <c r="E15" s="461"/>
      <c r="F15" s="46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23"/>
      <c r="E16" s="424"/>
      <c r="F16" s="424"/>
      <c r="G16" s="424"/>
      <c r="H16" s="424"/>
      <c r="I16" s="424"/>
      <c r="J16" s="425"/>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23"/>
      <c r="E17" s="424"/>
      <c r="F17" s="424"/>
      <c r="G17" s="424"/>
      <c r="H17" s="424"/>
      <c r="I17" s="424"/>
      <c r="J17" s="425"/>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23"/>
      <c r="E18" s="424"/>
      <c r="F18" s="424"/>
      <c r="G18" s="424"/>
      <c r="H18" s="424"/>
      <c r="I18" s="424"/>
      <c r="J18" s="42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3" t="s">
        <v>20052</v>
      </c>
      <c r="E19" s="424"/>
      <c r="F19" s="424"/>
      <c r="G19" s="424"/>
      <c r="H19" s="424"/>
      <c r="I19" s="424"/>
      <c r="J19" s="425"/>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82" t="s">
        <v>20053</v>
      </c>
      <c r="E20" s="431"/>
      <c r="F20" s="431"/>
      <c r="G20" s="431"/>
      <c r="H20" s="431"/>
      <c r="I20" s="431"/>
      <c r="J20" s="432"/>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3" t="s">
        <v>20054</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3" t="s">
        <v>20055</v>
      </c>
      <c r="E22" s="424"/>
      <c r="F22" s="424"/>
      <c r="G22" s="424"/>
      <c r="H22" s="424"/>
      <c r="I22" s="424"/>
      <c r="J22" s="425"/>
      <c r="K22" s="29"/>
      <c r="L22" s="98"/>
      <c r="Q22" s="2"/>
      <c r="R22" s="2"/>
      <c r="S22" s="2"/>
      <c r="T22" s="2"/>
      <c r="U22" s="2"/>
      <c r="V22" s="2"/>
      <c r="W22" s="2"/>
      <c r="X22" s="2"/>
      <c r="Y22" s="2"/>
      <c r="Z22" s="2"/>
      <c r="AA22" s="2">
        <f>10-COUNTIF(AA12:AA21,"")</f>
        <v>2</v>
      </c>
      <c r="AB22" s="2"/>
      <c r="AC22" s="2"/>
      <c r="AD22" s="2"/>
      <c r="AE22" s="2"/>
      <c r="AF22" s="2"/>
      <c r="AG22" s="2"/>
    </row>
    <row r="23" spans="1:33" ht="22.2">
      <c r="A23" s="31"/>
      <c r="B23" s="33" t="str">
        <f ca="1">OFFSET(L!$C$1,MATCH("Declaration"&amp;ADDRESS(ROW(),COLUMN(),4),L!$A:$A,0)-1,SL,,)</f>
        <v>Title - Authorizer:</v>
      </c>
      <c r="C23" s="67"/>
      <c r="D23" s="423"/>
      <c r="E23" s="424"/>
      <c r="F23" s="424"/>
      <c r="G23" s="424"/>
      <c r="H23" s="424"/>
      <c r="I23" s="424"/>
      <c r="J23" s="425"/>
      <c r="K23" s="29"/>
      <c r="L23" s="98"/>
      <c r="P23" s="2"/>
      <c r="Q23" s="2"/>
      <c r="R23" s="2"/>
      <c r="S23" s="2"/>
      <c r="T23" s="2"/>
      <c r="U23" s="2"/>
      <c r="V23" s="2"/>
      <c r="W23" s="2"/>
      <c r="X23" s="2"/>
      <c r="Y23" s="2"/>
      <c r="Z23" s="2"/>
      <c r="AA23" s="2">
        <f>IF(AA22=0,0.1,AA22)</f>
        <v>2</v>
      </c>
      <c r="AB23" s="2"/>
      <c r="AC23" s="2"/>
      <c r="AD23" s="2"/>
      <c r="AE23" s="2"/>
      <c r="AF23" s="2"/>
      <c r="AG23" s="2"/>
    </row>
    <row r="24" spans="1:33" ht="22.2">
      <c r="A24" s="31"/>
      <c r="B24" s="33" t="str">
        <f ca="1">OFFSET(L!$C$1,MATCH("Declaration"&amp;ADDRESS(ROW(),COLUMN(),4),L!$A:$A,0)-1,SL,,)</f>
        <v>Email - Authorizer (*):</v>
      </c>
      <c r="C24" s="67"/>
      <c r="D24" s="482" t="s">
        <v>20056</v>
      </c>
      <c r="E24" s="431"/>
      <c r="F24" s="431"/>
      <c r="G24" s="431"/>
      <c r="H24" s="431"/>
      <c r="I24" s="431"/>
      <c r="J24" s="432"/>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3"/>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3">
        <v>45916</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29"/>
      <c r="E27" s="42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0" t="str">
        <f ca="1">OFFSET(L!$C$1,MATCH("Declaration"&amp;ADDRESS(ROW(),COLUMN(),4),L!$A:$A,0)-1,SL,,)</f>
        <v>Answer the following questions 1 - 7 based on the declaration scope indicated above</v>
      </c>
      <c r="C28" s="430"/>
      <c r="D28" s="430"/>
      <c r="E28" s="430"/>
      <c r="F28" s="430"/>
      <c r="G28" s="430"/>
      <c r="H28" s="430"/>
      <c r="I28" s="430"/>
      <c r="J28" s="43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Mica(*)</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8" t="str">
        <f ca="1">D29</f>
        <v>Answer</v>
      </c>
      <c r="E41" s="418"/>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Mica(*)</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2">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8" t="str">
        <f ca="1">D29</f>
        <v>Answer</v>
      </c>
      <c r="E53" s="418"/>
      <c r="F53" s="14"/>
      <c r="G53" s="37" t="str">
        <f ca="1">G29</f>
        <v>Comments</v>
      </c>
      <c r="H53" s="422"/>
      <c r="I53" s="422"/>
      <c r="J53" s="42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25</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Mica(*)</v>
      </c>
      <c r="C55" s="6"/>
      <c r="D55" s="403" t="s">
        <v>25</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8" t="str">
        <f ca="1">D29</f>
        <v>Answer</v>
      </c>
      <c r="E65" s="41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26</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Mica(*)</v>
      </c>
      <c r="C67" s="6"/>
      <c r="D67" s="403" t="s">
        <v>26</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8" t="str">
        <f ca="1">D29</f>
        <v>Answer</v>
      </c>
      <c r="E77" s="41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20057</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Mica(*)</v>
      </c>
      <c r="C79" s="28"/>
      <c r="D79" s="403" t="s">
        <v>20057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8" t="str">
        <f ca="1">D29</f>
        <v>Answer</v>
      </c>
      <c r="E89" s="418"/>
      <c r="F89" s="14"/>
      <c r="G89" s="37" t="str">
        <f ca="1">G29</f>
        <v>Comments</v>
      </c>
      <c r="H89" s="419"/>
      <c r="I89" s="419"/>
      <c r="J89" s="419"/>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Mica(*)</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8" t="str">
        <f ca="1">D29</f>
        <v>Answer</v>
      </c>
      <c r="E101" s="418"/>
      <c r="F101" s="14"/>
      <c r="G101" s="37" t="str">
        <f ca="1">G29</f>
        <v>Comments</v>
      </c>
      <c r="H101" s="419" t="str">
        <f>IF(Q115="(*)","Click here to enter smelter names","")</f>
        <v/>
      </c>
      <c r="I101" s="419"/>
      <c r="J101" s="41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Mica(*)</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7" t="str">
        <f ca="1">OFFSET(L!$C$1,MATCH("Declaration"&amp;ADDRESS(ROW(),COLUMN(),4),L!$A:$A,0)-1,SL,,)</f>
        <v>Answer the Following Questions at a Company Level</v>
      </c>
      <c r="C113" s="417"/>
      <c r="D113" s="417"/>
      <c r="E113" s="417"/>
      <c r="F113" s="417"/>
      <c r="G113" s="417"/>
      <c r="H113" s="417"/>
      <c r="I113" s="417"/>
      <c r="J113" s="417"/>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83" t="s">
        <v>20058</v>
      </c>
      <c r="H117" s="413"/>
      <c r="I117" s="413"/>
      <c r="J117" s="4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5"/>
      <c r="E119" s="415"/>
      <c r="F119" s="233"/>
      <c r="G119" s="416"/>
      <c r="H119" s="416"/>
      <c r="I119" s="416"/>
      <c r="J119" s="4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Mica(*)</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B5D68E5C-6A7B-41EA-89F5-3215A6B4DFEE}"/>
    <hyperlink ref="D24" r:id="rId2" xr:uid="{959F9673-BC59-4B37-86D7-38AE53BC12B0}"/>
    <hyperlink ref="G117" r:id="rId3" location="product_stewardship" xr:uid="{3475602E-B500-4971-A1F7-C32EC49A365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45" activePane="bottomLeft" state="frozen"/>
      <selection activeCell="B24" sqref="B24:J24"/>
      <selection pane="bottomLeft" activeCell="F3" sqref="F3"/>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3" t="str">
        <f ca="1">OFFSET(L!$C$1,MATCH("Smelter List"&amp;ADDRESS(ROW(),COLUMN(),4),L!$A:$A,0)-1,SL,,)</f>
        <v>Link to "RMAP Conformant Smelter List"</v>
      </c>
      <c r="K2" s="464"/>
      <c r="L2" s="464"/>
      <c r="M2" s="464"/>
      <c r="N2" s="464"/>
      <c r="O2" s="464"/>
      <c r="P2" s="162"/>
      <c r="Q2" s="163"/>
      <c r="R2" s="164"/>
      <c r="S2" s="164"/>
      <c r="T2" s="164"/>
      <c r="AB2" s="312"/>
      <c r="AH2" s="130" t="s">
        <v>25</v>
      </c>
    </row>
    <row r="3" spans="1:34" s="16" customFormat="1" ht="249.45" customHeight="1">
      <c r="A3" s="202"/>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399999999999999">
      <c r="A5" s="198" t="s">
        <v>112</v>
      </c>
      <c r="B5" s="304" t="s">
        <v>40</v>
      </c>
      <c r="C5" s="152" t="s">
        <v>111</v>
      </c>
      <c r="D5" s="149"/>
      <c r="E5" s="149" t="s">
        <v>65</v>
      </c>
      <c r="F5" s="149" t="s">
        <v>112</v>
      </c>
      <c r="G5" s="149" t="s">
        <v>12</v>
      </c>
      <c r="H5" s="206">
        <v>0</v>
      </c>
      <c r="I5" s="207" t="s">
        <v>113</v>
      </c>
      <c r="J5" s="207" t="s">
        <v>114</v>
      </c>
      <c r="K5" s="150"/>
      <c r="L5" s="150"/>
      <c r="M5" s="150">
        <v>0</v>
      </c>
      <c r="N5" s="150">
        <v>0</v>
      </c>
      <c r="O5" s="150">
        <v>0</v>
      </c>
      <c r="P5" s="209"/>
      <c r="Q5" s="151" t="s">
        <v>20059</v>
      </c>
      <c r="R5" s="149" t="str">
        <f ca="1">IF(ISERROR($V5),"",OFFSET('Smelter Look-up'!$C$4,$V5-4,0)&amp;"")</f>
        <v>Gem (Jiangsu) Cobalt Industry Co., Ltd.</v>
      </c>
      <c r="S5" s="155" t="str">
        <f t="shared" ref="S5:S12" ca="1" si="0">IF(B5="","",IF(ISERROR(MATCH($E5,CL,0)),"Unknown",INDIRECT("'C'!$A$"&amp;MATCH($E5,CL,0)+1)))</f>
        <v>CN</v>
      </c>
      <c r="T5" s="155" t="str">
        <f ca="1">IF(B5="","",IF(ISERROR(MATCH($J5,SorP!$B$1:$B$6226,0)),"",INDIRECT("'SorP'!$A$"&amp;MATCH($S5&amp;$J5,SorP!C:C,0))))</f>
        <v>CN-JS</v>
      </c>
      <c r="U5" s="168"/>
      <c r="V5" s="169">
        <f>IF(C5="",NA(),MATCH($B5&amp;$C5,'Smelter Look-up'!$J:$J,0))</f>
        <v>36</v>
      </c>
      <c r="X5" s="170">
        <f t="shared" ref="X5:X12" si="1">IF(AND(C5="Smelter not listed",OR(LEN(D5)=0,LEN(E5)=0)),1,0)</f>
        <v>0</v>
      </c>
      <c r="AB5" s="314" t="str">
        <f t="shared" ref="AB5:AB12" si="2">IF(C5="","",B5)</f>
        <v>Cobalt</v>
      </c>
    </row>
    <row r="6" spans="1:34" s="170" customFormat="1" ht="25.2">
      <c r="A6" s="198" t="s">
        <v>185</v>
      </c>
      <c r="B6" s="304" t="s">
        <v>40</v>
      </c>
      <c r="C6" s="152" t="s">
        <v>184</v>
      </c>
      <c r="D6" s="149"/>
      <c r="E6" s="149" t="s">
        <v>65</v>
      </c>
      <c r="F6" s="149" t="s">
        <v>185</v>
      </c>
      <c r="G6" s="149" t="s">
        <v>12</v>
      </c>
      <c r="H6" s="206">
        <v>0</v>
      </c>
      <c r="I6" s="207" t="s">
        <v>186</v>
      </c>
      <c r="J6" s="207" t="s">
        <v>187</v>
      </c>
      <c r="K6" s="150"/>
      <c r="L6" s="150"/>
      <c r="M6" s="150">
        <v>0</v>
      </c>
      <c r="N6" s="150">
        <v>0</v>
      </c>
      <c r="O6" s="150">
        <v>0</v>
      </c>
      <c r="P6" s="209"/>
      <c r="Q6" s="151" t="s">
        <v>20059</v>
      </c>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IF(C6="",NA(),MATCH($B6&amp;$C6,'Smelter Look-up'!$J:$J,0))</f>
        <v>88</v>
      </c>
      <c r="X6" s="170">
        <f t="shared" si="1"/>
        <v>0</v>
      </c>
      <c r="AB6" s="314" t="str">
        <f t="shared" si="2"/>
        <v>Cobalt</v>
      </c>
    </row>
    <row r="7" spans="1:34" s="170" customFormat="1" ht="20.399999999999999">
      <c r="A7" s="198" t="s">
        <v>306</v>
      </c>
      <c r="B7" s="304" t="s">
        <v>40</v>
      </c>
      <c r="C7" s="152" t="s">
        <v>305</v>
      </c>
      <c r="D7" s="149"/>
      <c r="E7" s="149" t="s">
        <v>65</v>
      </c>
      <c r="F7" s="149" t="s">
        <v>306</v>
      </c>
      <c r="G7" s="149" t="s">
        <v>12</v>
      </c>
      <c r="H7" s="206">
        <v>0</v>
      </c>
      <c r="I7" s="207" t="s">
        <v>307</v>
      </c>
      <c r="J7" s="207" t="s">
        <v>122</v>
      </c>
      <c r="K7" s="150"/>
      <c r="L7" s="150"/>
      <c r="M7" s="150">
        <v>0</v>
      </c>
      <c r="N7" s="150">
        <v>0</v>
      </c>
      <c r="O7" s="150">
        <v>0</v>
      </c>
      <c r="P7" s="209"/>
      <c r="Q7" s="151" t="s">
        <v>20059</v>
      </c>
      <c r="R7" s="149" t="str">
        <f ca="1">IF(ISERROR($V7),"",OFFSET('Smelter Look-up'!$C$4,$V7-4,0)&amp;"")</f>
        <v>Zhuhai Kelixin Metal Materials Co., Ltd.</v>
      </c>
      <c r="S7" s="155" t="str">
        <f t="shared" ca="1" si="0"/>
        <v>CN</v>
      </c>
      <c r="T7" s="155" t="str">
        <f ca="1">IF(B7="","",IF(ISERROR(MATCH($J7,SorP!$B$1:$B$6226,0)),"",INDIRECT("'SorP'!$A$"&amp;MATCH($S7&amp;$J7,SorP!C:C,0))))</f>
        <v>CN-GD</v>
      </c>
      <c r="U7" s="168"/>
      <c r="V7" s="169">
        <f>IF(C7="",NA(),MATCH($B7&amp;$C7,'Smelter Look-up'!$J:$J,0))</f>
        <v>173</v>
      </c>
      <c r="X7" s="170">
        <f t="shared" si="1"/>
        <v>0</v>
      </c>
      <c r="AB7" s="314" t="str">
        <f t="shared" si="2"/>
        <v>Cobalt</v>
      </c>
    </row>
    <row r="8" spans="1:34" s="170" customFormat="1" ht="20.399999999999999">
      <c r="A8" s="198" t="s">
        <v>110</v>
      </c>
      <c r="B8" s="304" t="s">
        <v>40</v>
      </c>
      <c r="C8" s="152" t="s">
        <v>109</v>
      </c>
      <c r="D8" s="149"/>
      <c r="E8" s="149" t="s">
        <v>65</v>
      </c>
      <c r="F8" s="149" t="s">
        <v>110</v>
      </c>
      <c r="G8" s="149" t="s">
        <v>12</v>
      </c>
      <c r="H8" s="206">
        <v>0</v>
      </c>
      <c r="I8" s="207" t="s">
        <v>105</v>
      </c>
      <c r="J8" s="207" t="s">
        <v>106</v>
      </c>
      <c r="K8" s="150"/>
      <c r="L8" s="150"/>
      <c r="M8" s="150">
        <v>0</v>
      </c>
      <c r="N8" s="150">
        <v>0</v>
      </c>
      <c r="O8" s="150">
        <v>0</v>
      </c>
      <c r="P8" s="209"/>
      <c r="Q8" s="151" t="s">
        <v>20059</v>
      </c>
      <c r="R8" s="149" t="str">
        <f ca="1">IF(ISERROR($V8),"",OFFSET('Smelter Look-up'!$C$4,$V8-4,0)&amp;"")</f>
        <v>Ganzhou Tengyuan Cobalt New Material Co., Ltd.</v>
      </c>
      <c r="S8" s="155" t="str">
        <f t="shared" ca="1" si="0"/>
        <v>CN</v>
      </c>
      <c r="T8" s="155" t="str">
        <f ca="1">IF(B8="","",IF(ISERROR(MATCH($J8,SorP!$B$1:$B$6226,0)),"",INDIRECT("'SorP'!$A$"&amp;MATCH($S8&amp;$J8,SorP!C:C,0))))</f>
        <v>CN-JX</v>
      </c>
      <c r="U8" s="168"/>
      <c r="V8" s="169">
        <f>IF(C8="",NA(),MATCH($B8&amp;$C8,'Smelter Look-up'!$J:$J,0))</f>
        <v>35</v>
      </c>
      <c r="X8" s="170">
        <f t="shared" si="1"/>
        <v>0</v>
      </c>
      <c r="AB8" s="314" t="str">
        <f t="shared" si="2"/>
        <v>Cobalt</v>
      </c>
    </row>
    <row r="9" spans="1:34" s="170" customFormat="1" ht="25.2">
      <c r="A9" s="198" t="s">
        <v>124</v>
      </c>
      <c r="B9" s="304" t="s">
        <v>40</v>
      </c>
      <c r="C9" s="152" t="s">
        <v>123</v>
      </c>
      <c r="D9" s="149"/>
      <c r="E9" s="149" t="s">
        <v>65</v>
      </c>
      <c r="F9" s="149" t="s">
        <v>124</v>
      </c>
      <c r="G9" s="149" t="s">
        <v>12</v>
      </c>
      <c r="H9" s="206">
        <v>0</v>
      </c>
      <c r="I9" s="207" t="s">
        <v>125</v>
      </c>
      <c r="J9" s="207" t="s">
        <v>126</v>
      </c>
      <c r="K9" s="150"/>
      <c r="L9" s="150"/>
      <c r="M9" s="150">
        <v>0</v>
      </c>
      <c r="N9" s="150">
        <v>0</v>
      </c>
      <c r="O9" s="150">
        <v>0</v>
      </c>
      <c r="P9" s="209"/>
      <c r="Q9" s="151" t="s">
        <v>20059</v>
      </c>
      <c r="R9" s="149" t="str">
        <f ca="1">IF(ISERROR($V9),"",OFFSET('Smelter Look-up'!$C$4,$V9-4,0)&amp;"")</f>
        <v>Guangxi Yinyi Advanced Material Co., Ltd.</v>
      </c>
      <c r="S9" s="155" t="str">
        <f t="shared" ca="1" si="0"/>
        <v>CN</v>
      </c>
      <c r="T9" s="155" t="str">
        <f ca="1">IF(B9="","",IF(ISERROR(MATCH($J9,SorP!$B$1:$B$6226,0)),"",INDIRECT("'SorP'!$A$"&amp;MATCH($S9&amp;$J9,SorP!C:C,0))))</f>
        <v>CN-GX</v>
      </c>
      <c r="U9" s="168"/>
      <c r="V9" s="169">
        <f>IF(C9="",NA(),MATCH($B9&amp;$C9,'Smelter Look-up'!$J:$J,0))</f>
        <v>42</v>
      </c>
      <c r="X9" s="170">
        <f t="shared" si="1"/>
        <v>0</v>
      </c>
      <c r="AB9" s="314" t="str">
        <f t="shared" si="2"/>
        <v>Cobalt</v>
      </c>
    </row>
    <row r="10" spans="1:34" s="170" customFormat="1" ht="20.399999999999999">
      <c r="A10" s="198" t="s">
        <v>195</v>
      </c>
      <c r="B10" s="304" t="s">
        <v>40</v>
      </c>
      <c r="C10" s="152" t="s">
        <v>194</v>
      </c>
      <c r="D10" s="149"/>
      <c r="E10" s="149" t="s">
        <v>65</v>
      </c>
      <c r="F10" s="149" t="s">
        <v>195</v>
      </c>
      <c r="G10" s="149" t="s">
        <v>12</v>
      </c>
      <c r="H10" s="206">
        <v>0</v>
      </c>
      <c r="I10" s="207" t="s">
        <v>196</v>
      </c>
      <c r="J10" s="207" t="s">
        <v>197</v>
      </c>
      <c r="K10" s="150"/>
      <c r="L10" s="150"/>
      <c r="M10" s="150">
        <v>0</v>
      </c>
      <c r="N10" s="150">
        <v>0</v>
      </c>
      <c r="O10" s="150">
        <v>0</v>
      </c>
      <c r="P10" s="209"/>
      <c r="Q10" s="151" t="s">
        <v>20059</v>
      </c>
      <c r="R10" s="149" t="str">
        <f ca="1">IF(ISERROR($V10),"",OFFSET('Smelter Look-up'!$C$4,$V10-4,0)&amp;"")</f>
        <v>Tianjin Maolian Science &amp; Technology Co., Ltd.</v>
      </c>
      <c r="S10" s="155" t="str">
        <f t="shared" ca="1" si="0"/>
        <v>CN</v>
      </c>
      <c r="T10" s="155" t="str">
        <f ca="1">IF(B10="","",IF(ISERROR(MATCH($J10,SorP!$B$1:$B$6226,0)),"",INDIRECT("'SorP'!$A$"&amp;MATCH($S10&amp;$J10,SorP!C:C,0))))</f>
        <v>CN-TJ</v>
      </c>
      <c r="U10" s="168"/>
      <c r="V10" s="169">
        <f>IF(C10="",NA(),MATCH($B10&amp;$C10,'Smelter Look-up'!$J:$J,0))</f>
        <v>151</v>
      </c>
      <c r="X10" s="170">
        <f t="shared" si="1"/>
        <v>0</v>
      </c>
      <c r="AB10" s="314" t="str">
        <f t="shared" si="2"/>
        <v>Cobalt</v>
      </c>
    </row>
    <row r="11" spans="1:34" s="170" customFormat="1" ht="20.399999999999999">
      <c r="A11" s="199" t="s">
        <v>141</v>
      </c>
      <c r="B11" s="304" t="s">
        <v>40</v>
      </c>
      <c r="C11" s="152" t="s">
        <v>140</v>
      </c>
      <c r="D11" s="149"/>
      <c r="E11" s="149" t="s">
        <v>65</v>
      </c>
      <c r="F11" s="149" t="s">
        <v>141</v>
      </c>
      <c r="G11" s="149" t="s">
        <v>12</v>
      </c>
      <c r="H11" s="206">
        <v>0</v>
      </c>
      <c r="I11" s="207" t="s">
        <v>142</v>
      </c>
      <c r="J11" s="207" t="s">
        <v>143</v>
      </c>
      <c r="K11" s="150"/>
      <c r="L11" s="150"/>
      <c r="M11" s="150" t="s">
        <v>20060</v>
      </c>
      <c r="N11" s="150">
        <v>0</v>
      </c>
      <c r="O11" s="150">
        <v>0</v>
      </c>
      <c r="P11" s="209"/>
      <c r="Q11" s="151" t="s">
        <v>20061</v>
      </c>
      <c r="R11" s="149" t="str">
        <f ca="1">IF(ISERROR($V11),"",OFFSET('Smelter Look-up'!$C$4,$V11-4,0)&amp;"")</f>
        <v>Hunan Brunp Recycling Technology Co., Ltd.</v>
      </c>
      <c r="S11" s="155" t="str">
        <f t="shared" ca="1" si="0"/>
        <v>CN</v>
      </c>
      <c r="T11" s="155" t="str">
        <f ca="1">IF(B11="","",IF(ISERROR(MATCH($J11,SorP!$B$1:$B$6226,0)),"",INDIRECT("'SorP'!$A$"&amp;MATCH($S11&amp;$J11,SorP!C:C,0))))</f>
        <v>CN-HN</v>
      </c>
      <c r="U11" s="168"/>
      <c r="V11" s="169">
        <f>IF(C11="",NA(),MATCH($B11&amp;$C11,'Smelter Look-up'!$J:$J,0))</f>
        <v>48</v>
      </c>
      <c r="X11" s="170">
        <f t="shared" si="1"/>
        <v>0</v>
      </c>
      <c r="AB11" s="314" t="str">
        <f t="shared" si="2"/>
        <v>Cobalt</v>
      </c>
    </row>
    <row r="12" spans="1:34" s="170" customFormat="1" ht="50.4">
      <c r="A12" s="198" t="s">
        <v>232</v>
      </c>
      <c r="B12" s="304" t="s">
        <v>40</v>
      </c>
      <c r="C12" s="152" t="s">
        <v>231</v>
      </c>
      <c r="D12" s="149"/>
      <c r="E12" s="149" t="s">
        <v>65</v>
      </c>
      <c r="F12" s="149" t="s">
        <v>232</v>
      </c>
      <c r="G12" s="149" t="s">
        <v>12</v>
      </c>
      <c r="H12" s="206">
        <v>0</v>
      </c>
      <c r="I12" s="207" t="s">
        <v>233</v>
      </c>
      <c r="J12" s="207" t="s">
        <v>114</v>
      </c>
      <c r="K12" s="150"/>
      <c r="L12" s="150"/>
      <c r="M12" s="150" t="s">
        <v>20062</v>
      </c>
      <c r="N12" s="150">
        <v>0</v>
      </c>
      <c r="O12" s="150">
        <v>0</v>
      </c>
      <c r="P12" s="209"/>
      <c r="Q12" s="151" t="s">
        <v>20063</v>
      </c>
      <c r="R12" s="149" t="str">
        <f ca="1">IF(ISERROR($V12),"",OFFSET('Smelter Look-up'!$C$4,$V12-4,0)&amp;"")</f>
        <v>Nantong Xinwei Nickel Cobalt Technology Development Co., Ltd.</v>
      </c>
      <c r="S12" s="155" t="str">
        <f t="shared" ca="1" si="0"/>
        <v>CN</v>
      </c>
      <c r="T12" s="155" t="str">
        <f ca="1">IF(B12="","",IF(ISERROR(MATCH($J12,SorP!$B$1:$B$6226,0)),"",INDIRECT("'SorP'!$A$"&amp;MATCH($S12&amp;$J12,SorP!C:C,0))))</f>
        <v>CN-JS</v>
      </c>
      <c r="U12" s="168"/>
      <c r="V12" s="169">
        <f>IF(C12="",NA(),MATCH($B12&amp;$C12,'Smelter Look-up'!$J:$J,0))</f>
        <v>117</v>
      </c>
      <c r="X12" s="170">
        <f t="shared" si="1"/>
        <v>0</v>
      </c>
      <c r="AB12" s="314" t="str">
        <f t="shared" si="2"/>
        <v>Cobalt</v>
      </c>
    </row>
    <row r="13" spans="1:34" s="170" customFormat="1" ht="20.399999999999999">
      <c r="A13" s="198" t="s">
        <v>301</v>
      </c>
      <c r="B13" s="304" t="s">
        <v>40</v>
      </c>
      <c r="C13" s="152" t="s">
        <v>300</v>
      </c>
      <c r="D13" s="149"/>
      <c r="E13" s="149" t="s">
        <v>65</v>
      </c>
      <c r="F13" s="149" t="s">
        <v>301</v>
      </c>
      <c r="G13" s="149" t="s">
        <v>12</v>
      </c>
      <c r="H13" s="206">
        <v>0</v>
      </c>
      <c r="I13" s="207" t="s">
        <v>302</v>
      </c>
      <c r="J13" s="207" t="s">
        <v>205</v>
      </c>
      <c r="K13" s="150"/>
      <c r="L13" s="150"/>
      <c r="M13" s="150">
        <v>0</v>
      </c>
      <c r="N13" s="150">
        <v>0</v>
      </c>
      <c r="O13" s="150">
        <v>0</v>
      </c>
      <c r="P13" s="209"/>
      <c r="Q13" s="151" t="s">
        <v>20059</v>
      </c>
      <c r="R13" s="149" t="str">
        <f ca="1">IF(ISERROR($V13),"",OFFSET('Smelter Look-up'!$C$4,$V13-4,0)&amp;"")</f>
        <v>Zhejiang Huayou Cobalt Company Limited</v>
      </c>
      <c r="S13" s="155" t="str">
        <f t="shared" ref="S13:S63" ca="1" si="3">IF(B13="","",IF(ISERROR(MATCH($E13,CL,0)),"Unknown",INDIRECT("'C'!$A$"&amp;MATCH($E13,CL,0)+1)))</f>
        <v>CN</v>
      </c>
      <c r="T13" s="155" t="str">
        <f ca="1">IF(B13="","",IF(ISERROR(MATCH($J13,SorP!$B$1:$B$6226,0)),"",INDIRECT("'SorP'!$A$"&amp;MATCH($S13&amp;$J13,SorP!C:C,0))))</f>
        <v>CN-ZJ</v>
      </c>
      <c r="U13" s="168"/>
      <c r="V13" s="169">
        <f>IF(C13="",NA(),MATCH($B13&amp;$C13,'Smelter Look-up'!$J:$J,0))</f>
        <v>170</v>
      </c>
      <c r="X13" s="170">
        <f t="shared" ref="X13:X62" si="4">IF(AND(C13="Smelter not listed",OR(LEN(D13)=0,LEN(E13)=0)),1,0)</f>
        <v>0</v>
      </c>
      <c r="AB13" s="314" t="str">
        <f t="shared" ref="AB13:AB69" si="5">IF(C13="","",B13)</f>
        <v>Cobalt</v>
      </c>
    </row>
    <row r="14" spans="1:34" s="170" customFormat="1" ht="20.399999999999999">
      <c r="A14" s="199" t="s">
        <v>102</v>
      </c>
      <c r="B14" s="304" t="s">
        <v>40</v>
      </c>
      <c r="C14" s="152" t="s">
        <v>100</v>
      </c>
      <c r="D14" s="149"/>
      <c r="E14" s="149" t="s">
        <v>101</v>
      </c>
      <c r="F14" s="149" t="s">
        <v>102</v>
      </c>
      <c r="G14" s="149" t="s">
        <v>12</v>
      </c>
      <c r="H14" s="206">
        <v>0</v>
      </c>
      <c r="I14" s="207" t="s">
        <v>103</v>
      </c>
      <c r="J14" s="207" t="s">
        <v>104</v>
      </c>
      <c r="K14" s="150"/>
      <c r="L14" s="150"/>
      <c r="M14" s="150">
        <v>0</v>
      </c>
      <c r="N14" s="150">
        <v>0</v>
      </c>
      <c r="O14" s="150">
        <v>0</v>
      </c>
      <c r="P14" s="209"/>
      <c r="Q14" s="151" t="s">
        <v>20059</v>
      </c>
      <c r="R14" s="149" t="str">
        <f ca="1">IF(ISERROR($V14),"",OFFSET('Smelter Look-up'!$C$4,$V14-4,0)&amp;"")</f>
        <v>Umicore Finland Oy</v>
      </c>
      <c r="S14" s="155" t="str">
        <f t="shared" ca="1" si="3"/>
        <v>FI</v>
      </c>
      <c r="T14" s="155" t="str">
        <f ca="1">IF(B14="","",IF(ISERROR(MATCH($J14,SorP!$B$1:$B$6226,0)),"",INDIRECT("'SorP'!$A$"&amp;MATCH($S14&amp;$J14,SorP!C:C,0))))</f>
        <v>FI-07</v>
      </c>
      <c r="U14" s="168"/>
      <c r="V14" s="169">
        <f>IF(C14="",NA(),MATCH($B14&amp;$C14,'Smelter Look-up'!$J:$J,0))</f>
        <v>152</v>
      </c>
      <c r="X14" s="170">
        <f t="shared" si="4"/>
        <v>0</v>
      </c>
      <c r="AB14" s="314" t="str">
        <f t="shared" si="5"/>
        <v>Cobalt</v>
      </c>
    </row>
    <row r="15" spans="1:34" s="170" customFormat="1" ht="20.399999999999999">
      <c r="A15" s="199" t="s">
        <v>19231</v>
      </c>
      <c r="B15" s="304" t="s">
        <v>40</v>
      </c>
      <c r="C15" s="152" t="s">
        <v>19230</v>
      </c>
      <c r="D15" s="149"/>
      <c r="E15" s="149" t="s">
        <v>65</v>
      </c>
      <c r="F15" s="149" t="s">
        <v>19231</v>
      </c>
      <c r="G15" s="149" t="s">
        <v>12</v>
      </c>
      <c r="H15" s="206">
        <v>0</v>
      </c>
      <c r="I15" s="207" t="s">
        <v>105</v>
      </c>
      <c r="J15" s="207" t="s">
        <v>106</v>
      </c>
      <c r="K15" s="150"/>
      <c r="L15" s="150"/>
      <c r="M15" s="150" t="s">
        <v>20060</v>
      </c>
      <c r="N15" s="150">
        <v>0</v>
      </c>
      <c r="O15" s="150">
        <v>0</v>
      </c>
      <c r="P15" s="209"/>
      <c r="Q15" s="151" t="s">
        <v>20061</v>
      </c>
      <c r="R15" s="149" t="str">
        <f ca="1">IF(ISERROR($V15),"",OFFSET('Smelter Look-up'!$C$4,$V15-4,0)&amp;"")</f>
        <v>Gangzhou Yi Hao Umicore Industry Co.</v>
      </c>
      <c r="S15" s="155" t="str">
        <f t="shared" ca="1" si="3"/>
        <v>CN</v>
      </c>
      <c r="T15" s="155" t="str">
        <f ca="1">IF(B15="","",IF(ISERROR(MATCH($J15,SorP!$B$1:$B$6226,0)),"",INDIRECT("'SorP'!$A$"&amp;MATCH($S15&amp;$J15,SorP!C:C,0))))</f>
        <v>CN-JX</v>
      </c>
      <c r="U15" s="168"/>
      <c r="V15" s="169">
        <f>IF(C15="",NA(),MATCH($B15&amp;$C15,'Smelter Look-up'!$J:$J,0))</f>
        <v>31</v>
      </c>
      <c r="X15" s="170">
        <f t="shared" si="4"/>
        <v>0</v>
      </c>
      <c r="AB15" s="314" t="str">
        <f t="shared" si="5"/>
        <v>Cobalt</v>
      </c>
    </row>
    <row r="16" spans="1:34" s="170" customFormat="1" ht="20.399999999999999">
      <c r="A16" s="198" t="s">
        <v>278</v>
      </c>
      <c r="B16" s="304" t="s">
        <v>40</v>
      </c>
      <c r="C16" s="152" t="s">
        <v>276</v>
      </c>
      <c r="D16" s="149"/>
      <c r="E16" s="149" t="s">
        <v>277</v>
      </c>
      <c r="F16" s="149" t="s">
        <v>278</v>
      </c>
      <c r="G16" s="149" t="s">
        <v>12</v>
      </c>
      <c r="H16" s="206">
        <v>0</v>
      </c>
      <c r="I16" s="207" t="s">
        <v>279</v>
      </c>
      <c r="J16" s="207" t="s">
        <v>280</v>
      </c>
      <c r="K16" s="150"/>
      <c r="L16" s="150"/>
      <c r="M16" s="150">
        <v>0</v>
      </c>
      <c r="N16" s="150">
        <v>0</v>
      </c>
      <c r="O16" s="150">
        <v>0</v>
      </c>
      <c r="P16" s="209"/>
      <c r="Q16" s="151" t="s">
        <v>20059</v>
      </c>
      <c r="R16" s="149" t="str">
        <f ca="1">IF(ISERROR($V16),"",OFFSET('Smelter Look-up'!$C$4,$V16-4,0)&amp;"")</f>
        <v>Umicore Olen</v>
      </c>
      <c r="S16" s="155" t="str">
        <f t="shared" ca="1" si="3"/>
        <v>BE</v>
      </c>
      <c r="T16" s="155" t="str">
        <f ca="1">IF(B16="","",IF(ISERROR(MATCH($J16,SorP!$B$1:$B$6226,0)),"",INDIRECT("'SorP'!$A$"&amp;MATCH($S16&amp;$J16,SorP!C:C,0))))</f>
        <v>BE-VAN</v>
      </c>
      <c r="U16" s="168"/>
      <c r="V16" s="169">
        <f>IF(C16="",NA(),MATCH($B16&amp;$C16,'Smelter Look-up'!$J:$J,0))</f>
        <v>153</v>
      </c>
      <c r="X16" s="170">
        <f t="shared" si="4"/>
        <v>0</v>
      </c>
      <c r="AB16" s="314" t="str">
        <f t="shared" si="5"/>
        <v>Cobalt</v>
      </c>
    </row>
    <row r="17" spans="1:28" s="170" customFormat="1" ht="20.399999999999999">
      <c r="A17" s="198" t="s">
        <v>88</v>
      </c>
      <c r="B17" s="304" t="s">
        <v>40</v>
      </c>
      <c r="C17" s="152" t="s">
        <v>86</v>
      </c>
      <c r="D17" s="149"/>
      <c r="E17" s="149" t="s">
        <v>87</v>
      </c>
      <c r="F17" s="149" t="s">
        <v>88</v>
      </c>
      <c r="G17" s="149" t="s">
        <v>12</v>
      </c>
      <c r="H17" s="206">
        <v>0</v>
      </c>
      <c r="I17" s="207" t="s">
        <v>89</v>
      </c>
      <c r="J17" s="207" t="s">
        <v>89</v>
      </c>
      <c r="K17" s="150"/>
      <c r="L17" s="150"/>
      <c r="M17" s="150">
        <v>0</v>
      </c>
      <c r="N17" s="150">
        <v>0</v>
      </c>
      <c r="O17" s="150">
        <v>0</v>
      </c>
      <c r="P17" s="209"/>
      <c r="Q17" s="151" t="s">
        <v>20059</v>
      </c>
      <c r="R17" s="149" t="str">
        <f ca="1">IF(ISERROR($V17),"",OFFSET('Smelter Look-up'!$C$4,$V17-4,0)&amp;"")</f>
        <v>Dynatec Madagascar Company</v>
      </c>
      <c r="S17" s="155" t="str">
        <f t="shared" ca="1" si="3"/>
        <v>MG</v>
      </c>
      <c r="T17" s="155" t="str">
        <f ca="1">IF(B17="","",IF(ISERROR(MATCH($J17,SorP!$B$1:$B$6226,0)),"",INDIRECT("'SorP'!$A$"&amp;MATCH($S17&amp;$J17,SorP!C:C,0))))</f>
        <v>MG-A</v>
      </c>
      <c r="U17" s="168"/>
      <c r="V17" s="169">
        <f>IF(C17="",NA(),MATCH($B17&amp;$C17,'Smelter Look-up'!$J:$J,0))</f>
        <v>21</v>
      </c>
      <c r="X17" s="170">
        <f t="shared" si="4"/>
        <v>0</v>
      </c>
      <c r="AB17" s="314" t="str">
        <f t="shared" si="5"/>
        <v>Cobalt</v>
      </c>
    </row>
    <row r="18" spans="1:28" s="170" customFormat="1" ht="50.4">
      <c r="A18" s="198" t="s">
        <v>174</v>
      </c>
      <c r="B18" s="304" t="s">
        <v>40</v>
      </c>
      <c r="C18" s="152" t="s">
        <v>172</v>
      </c>
      <c r="D18" s="149"/>
      <c r="E18" s="149" t="s">
        <v>173</v>
      </c>
      <c r="F18" s="149" t="s">
        <v>174</v>
      </c>
      <c r="G18" s="149" t="s">
        <v>12</v>
      </c>
      <c r="H18" s="206">
        <v>0</v>
      </c>
      <c r="I18" s="207" t="s">
        <v>175</v>
      </c>
      <c r="J18" s="207" t="s">
        <v>176</v>
      </c>
      <c r="K18" s="150"/>
      <c r="L18" s="150"/>
      <c r="M18" s="150" t="s">
        <v>20062</v>
      </c>
      <c r="N18" s="150">
        <v>0</v>
      </c>
      <c r="O18" s="150">
        <v>0</v>
      </c>
      <c r="P18" s="209"/>
      <c r="Q18" s="151" t="s">
        <v>20064</v>
      </c>
      <c r="R18" s="149" t="str">
        <f ca="1">IF(ISERROR($V18),"",OFFSET('Smelter Look-up'!$C$4,$V18-4,0)&amp;"")</f>
        <v>JSC Kolskaya Mining and Metallurgical Company (Kola MMC)</v>
      </c>
      <c r="S18" s="155" t="str">
        <f t="shared" ca="1" si="3"/>
        <v>RU</v>
      </c>
      <c r="T18" s="155" t="str">
        <f ca="1">IF(B18="","",IF(ISERROR(MATCH($J18,SorP!$B$1:$B$6226,0)),"",INDIRECT("'SorP'!$A$"&amp;MATCH($S18&amp;$J18,SorP!C:C,0))))</f>
        <v>RU-MUR</v>
      </c>
      <c r="U18" s="168"/>
      <c r="V18" s="169">
        <f>IF(C18="",NA(),MATCH($B18&amp;$C18,'Smelter Look-up'!$J:$J,0))</f>
        <v>75</v>
      </c>
      <c r="X18" s="170">
        <f t="shared" si="4"/>
        <v>0</v>
      </c>
      <c r="AB18" s="314" t="str">
        <f t="shared" si="5"/>
        <v>Cobalt</v>
      </c>
    </row>
    <row r="19" spans="1:28" s="170" customFormat="1" ht="20.399999999999999">
      <c r="A19" s="198" t="s">
        <v>250</v>
      </c>
      <c r="B19" s="304" t="s">
        <v>40</v>
      </c>
      <c r="C19" s="152" t="s">
        <v>249</v>
      </c>
      <c r="D19" s="149"/>
      <c r="E19" s="149" t="s">
        <v>95</v>
      </c>
      <c r="F19" s="149" t="s">
        <v>250</v>
      </c>
      <c r="G19" s="149" t="s">
        <v>12</v>
      </c>
      <c r="H19" s="206">
        <v>0</v>
      </c>
      <c r="I19" s="207" t="s">
        <v>251</v>
      </c>
      <c r="J19" s="207" t="s">
        <v>98</v>
      </c>
      <c r="K19" s="150"/>
      <c r="L19" s="150"/>
      <c r="M19" s="150">
        <v>0</v>
      </c>
      <c r="N19" s="150">
        <v>0</v>
      </c>
      <c r="O19" s="150">
        <v>0</v>
      </c>
      <c r="P19" s="209"/>
      <c r="Q19" s="151" t="s">
        <v>20065</v>
      </c>
      <c r="R19" s="149" t="str">
        <f ca="1">IF(ISERROR($V19),"",OFFSET('Smelter Look-up'!$C$4,$V19-4,0)&amp;"")</f>
        <v>Port Colborne Refinery</v>
      </c>
      <c r="S19" s="155" t="str">
        <f t="shared" ca="1" si="3"/>
        <v>CA</v>
      </c>
      <c r="T19" s="155" t="str">
        <f ca="1">IF(B19="","",IF(ISERROR(MATCH($J19,SorP!$B$1:$B$6226,0)),"",INDIRECT("'SorP'!$A$"&amp;MATCH($S19&amp;$J19,SorP!C:C,0))))</f>
        <v>CA-ON</v>
      </c>
      <c r="U19" s="168"/>
      <c r="V19" s="169">
        <f>IF(C19="",NA(),MATCH($B19&amp;$C19,'Smelter Look-up'!$J:$J,0))</f>
        <v>125</v>
      </c>
      <c r="X19" s="170">
        <f t="shared" si="4"/>
        <v>0</v>
      </c>
      <c r="AB19" s="314" t="str">
        <f t="shared" si="5"/>
        <v>Cobalt</v>
      </c>
    </row>
    <row r="20" spans="1:28" s="170" customFormat="1" ht="50.4">
      <c r="A20" s="199" t="s">
        <v>96</v>
      </c>
      <c r="B20" s="304" t="s">
        <v>40</v>
      </c>
      <c r="C20" s="152" t="s">
        <v>94</v>
      </c>
      <c r="D20" s="149"/>
      <c r="E20" s="149" t="s">
        <v>95</v>
      </c>
      <c r="F20" s="149" t="s">
        <v>96</v>
      </c>
      <c r="G20" s="149" t="s">
        <v>12</v>
      </c>
      <c r="H20" s="206">
        <v>0</v>
      </c>
      <c r="I20" s="207" t="s">
        <v>97</v>
      </c>
      <c r="J20" s="207" t="s">
        <v>98</v>
      </c>
      <c r="K20" s="150"/>
      <c r="L20" s="150"/>
      <c r="M20" s="150" t="s">
        <v>20062</v>
      </c>
      <c r="N20" s="150">
        <v>0</v>
      </c>
      <c r="O20" s="150">
        <v>0</v>
      </c>
      <c r="P20" s="209"/>
      <c r="Q20" s="151" t="s">
        <v>20064</v>
      </c>
      <c r="R20" s="149" t="str">
        <f ca="1">IF(ISERROR($V20),"",OFFSET('Smelter Look-up'!$C$4,$V20-4,0)&amp;"")</f>
        <v>Fort Saskatchewan Metals Facility</v>
      </c>
      <c r="S20" s="155" t="str">
        <f t="shared" ca="1" si="3"/>
        <v>CA</v>
      </c>
      <c r="T20" s="155" t="str">
        <f ca="1">IF(B20="","",IF(ISERROR(MATCH($J20,SorP!$B$1:$B$6226,0)),"",INDIRECT("'SorP'!$A$"&amp;MATCH($S20&amp;$J20,SorP!C:C,0))))</f>
        <v>CA-ON</v>
      </c>
      <c r="U20" s="168"/>
      <c r="V20" s="169">
        <f>IF(C20="",NA(),MATCH($B20&amp;$C20,'Smelter Look-up'!$J:$J,0))</f>
        <v>28</v>
      </c>
      <c r="X20" s="170">
        <f t="shared" si="4"/>
        <v>0</v>
      </c>
      <c r="AB20" s="314" t="str">
        <f t="shared" si="5"/>
        <v>Cobalt</v>
      </c>
    </row>
    <row r="21" spans="1:28" s="170" customFormat="1" ht="50.4">
      <c r="A21" s="198" t="s">
        <v>20066</v>
      </c>
      <c r="B21" s="304" t="s">
        <v>40</v>
      </c>
      <c r="C21" s="152" t="s">
        <v>20067</v>
      </c>
      <c r="D21" s="149"/>
      <c r="E21" s="149" t="s">
        <v>65</v>
      </c>
      <c r="F21" s="149" t="s">
        <v>20066</v>
      </c>
      <c r="G21" s="149" t="s">
        <v>12</v>
      </c>
      <c r="H21" s="206">
        <v>0</v>
      </c>
      <c r="I21" s="207" t="s">
        <v>229</v>
      </c>
      <c r="J21" s="207" t="s">
        <v>114</v>
      </c>
      <c r="K21" s="150"/>
      <c r="L21" s="150"/>
      <c r="M21" s="150" t="s">
        <v>20062</v>
      </c>
      <c r="N21" s="150">
        <v>0</v>
      </c>
      <c r="O21" s="150">
        <v>0</v>
      </c>
      <c r="P21" s="209"/>
      <c r="Q21" s="151" t="s">
        <v>20068</v>
      </c>
      <c r="R21" s="149" t="str">
        <f ca="1">IF(ISERROR($V21),"",OFFSET('Smelter Look-up'!$C$4,$V21-4,0)&amp;"")</f>
        <v/>
      </c>
      <c r="S21" s="155" t="str">
        <f t="shared" ca="1" si="3"/>
        <v>CN</v>
      </c>
      <c r="T21" s="155" t="str">
        <f ca="1">IF(B21="","",IF(ISERROR(MATCH($J21,SorP!$B$1:$B$6226,0)),"",INDIRECT("'SorP'!$A$"&amp;MATCH($S21&amp;$J21,SorP!C:C,0))))</f>
        <v>CN-JS</v>
      </c>
      <c r="U21" s="168"/>
      <c r="V21" s="169" t="e">
        <f>IF(C21="",NA(),MATCH($B21&amp;$C21,'Smelter Look-up'!$J:$J,0))</f>
        <v>#N/A</v>
      </c>
      <c r="X21" s="170">
        <f t="shared" si="4"/>
        <v>0</v>
      </c>
      <c r="AB21" s="314" t="str">
        <f t="shared" si="5"/>
        <v>Cobalt</v>
      </c>
    </row>
    <row r="22" spans="1:28" s="170" customFormat="1" ht="20.399999999999999">
      <c r="A22" s="198" t="s">
        <v>258</v>
      </c>
      <c r="B22" s="304" t="s">
        <v>40</v>
      </c>
      <c r="C22" s="152" t="s">
        <v>257</v>
      </c>
      <c r="D22" s="149"/>
      <c r="E22" s="149" t="s">
        <v>65</v>
      </c>
      <c r="F22" s="149" t="s">
        <v>258</v>
      </c>
      <c r="G22" s="149" t="s">
        <v>12</v>
      </c>
      <c r="H22" s="206">
        <v>0</v>
      </c>
      <c r="I22" s="207" t="s">
        <v>259</v>
      </c>
      <c r="J22" s="207" t="s">
        <v>205</v>
      </c>
      <c r="K22" s="150"/>
      <c r="L22" s="150"/>
      <c r="M22" s="150">
        <v>0</v>
      </c>
      <c r="N22" s="150">
        <v>0</v>
      </c>
      <c r="O22" s="150">
        <v>0</v>
      </c>
      <c r="P22" s="209"/>
      <c r="Q22" s="151" t="s">
        <v>20059</v>
      </c>
      <c r="R22" s="149" t="str">
        <f ca="1">IF(ISERROR($V22),"",OFFSET('Smelter Look-up'!$C$4,$V22-4,0)&amp;"")</f>
        <v>Quzhou Huayou Cobalt New Material Co., Ltd.</v>
      </c>
      <c r="S22" s="155" t="str">
        <f t="shared" ca="1" si="3"/>
        <v>CN</v>
      </c>
      <c r="T22" s="155" t="str">
        <f ca="1">IF(B22="","",IF(ISERROR(MATCH($J22,SorP!$B$1:$B$6226,0)),"",INDIRECT("'SorP'!$A$"&amp;MATCH($S22&amp;$J22,SorP!C:C,0))))</f>
        <v>CN-ZJ</v>
      </c>
      <c r="U22" s="168"/>
      <c r="V22" s="169">
        <f>IF(C22="",NA(),MATCH($B22&amp;$C22,'Smelter Look-up'!$J:$J,0))</f>
        <v>133</v>
      </c>
      <c r="X22" s="170">
        <f t="shared" si="4"/>
        <v>0</v>
      </c>
      <c r="AB22" s="314" t="str">
        <f t="shared" si="5"/>
        <v>Cobalt</v>
      </c>
    </row>
    <row r="23" spans="1:28" s="170" customFormat="1" ht="25.2">
      <c r="A23" s="198" t="s">
        <v>178</v>
      </c>
      <c r="B23" s="304" t="s">
        <v>40</v>
      </c>
      <c r="C23" s="152" t="s">
        <v>177</v>
      </c>
      <c r="D23" s="149"/>
      <c r="E23" s="149" t="s">
        <v>60</v>
      </c>
      <c r="F23" s="149" t="s">
        <v>178</v>
      </c>
      <c r="G23" s="149" t="s">
        <v>12</v>
      </c>
      <c r="H23" s="206">
        <v>0</v>
      </c>
      <c r="I23" s="207" t="s">
        <v>179</v>
      </c>
      <c r="J23" s="207" t="s">
        <v>180</v>
      </c>
      <c r="K23" s="150"/>
      <c r="L23" s="150"/>
      <c r="M23" s="150">
        <v>0</v>
      </c>
      <c r="N23" s="150">
        <v>0</v>
      </c>
      <c r="O23" s="150">
        <v>0</v>
      </c>
      <c r="P23" s="209"/>
      <c r="Q23" s="151" t="s">
        <v>20059</v>
      </c>
      <c r="R23" s="149" t="str">
        <f ca="1">IF(ISERROR($V23),"",OFFSET('Smelter Look-up'!$C$4,$V23-4,0)&amp;"")</f>
        <v>Kamoto Copper Company</v>
      </c>
      <c r="S23" s="155" t="str">
        <f t="shared" ca="1" si="3"/>
        <v>CD</v>
      </c>
      <c r="T23" s="155" t="str">
        <f ca="1">IF(B23="","",IF(ISERROR(MATCH($J23,SorP!$B$1:$B$6226,0)),"",INDIRECT("'SorP'!$A$"&amp;MATCH($S23&amp;$J23,SorP!C:C,0))))</f>
        <v>CD-LU</v>
      </c>
      <c r="U23" s="168"/>
      <c r="V23" s="169">
        <f>IF(C23="",NA(),MATCH($B23&amp;$C23,'Smelter Look-up'!$J:$J,0))</f>
        <v>76</v>
      </c>
      <c r="X23" s="170">
        <f t="shared" si="4"/>
        <v>0</v>
      </c>
      <c r="AB23" s="314" t="str">
        <f t="shared" si="5"/>
        <v>Cobalt</v>
      </c>
    </row>
    <row r="24" spans="1:28" s="170" customFormat="1" ht="25.2">
      <c r="A24" s="155" t="s">
        <v>61</v>
      </c>
      <c r="B24" s="304" t="s">
        <v>40</v>
      </c>
      <c r="C24" s="152" t="s">
        <v>59</v>
      </c>
      <c r="D24" s="149"/>
      <c r="E24" s="149" t="s">
        <v>60</v>
      </c>
      <c r="F24" s="149" t="s">
        <v>61</v>
      </c>
      <c r="G24" s="149" t="s">
        <v>12</v>
      </c>
      <c r="H24" s="206">
        <v>0</v>
      </c>
      <c r="I24" s="207" t="s">
        <v>62</v>
      </c>
      <c r="J24" s="207" t="s">
        <v>63</v>
      </c>
      <c r="K24" s="150"/>
      <c r="L24" s="150"/>
      <c r="M24" s="150">
        <v>0</v>
      </c>
      <c r="N24" s="150">
        <v>0</v>
      </c>
      <c r="O24" s="150">
        <v>0</v>
      </c>
      <c r="P24" s="209"/>
      <c r="Q24" s="151" t="s">
        <v>20059</v>
      </c>
      <c r="R24" s="149" t="str">
        <f ca="1">IF(ISERROR($V24),"",OFFSET('Smelter Look-up'!$C$4,$V24-4,0)&amp;"")</f>
        <v>Chemaf Etoile</v>
      </c>
      <c r="S24" s="155" t="str">
        <f t="shared" ca="1" si="3"/>
        <v>CD</v>
      </c>
      <c r="T24" s="155" t="str">
        <f ca="1">IF(B24="","",IF(ISERROR(MATCH($J24,SorP!$B$1:$B$6226,0)),"",INDIRECT("'SorP'!$A$"&amp;MATCH($S24&amp;$J24,SorP!C:C,0))))</f>
        <v>CD-HK</v>
      </c>
      <c r="U24" s="168"/>
      <c r="V24" s="169">
        <f>IF(C24="",NA(),MATCH($B24&amp;$C24,'Smelter Look-up'!$J:$J,0))</f>
        <v>7</v>
      </c>
      <c r="X24" s="170">
        <f t="shared" si="4"/>
        <v>0</v>
      </c>
      <c r="AB24" s="314" t="str">
        <f t="shared" si="5"/>
        <v>Cobalt</v>
      </c>
    </row>
    <row r="25" spans="1:28" s="170" customFormat="1" ht="25.2">
      <c r="A25" s="155" t="s">
        <v>266</v>
      </c>
      <c r="B25" s="304" t="s">
        <v>40</v>
      </c>
      <c r="C25" s="152" t="s">
        <v>265</v>
      </c>
      <c r="D25" s="149"/>
      <c r="E25" s="149" t="s">
        <v>60</v>
      </c>
      <c r="F25" s="149" t="s">
        <v>266</v>
      </c>
      <c r="G25" s="149" t="s">
        <v>12</v>
      </c>
      <c r="H25" s="206">
        <v>0</v>
      </c>
      <c r="I25" s="207" t="s">
        <v>62</v>
      </c>
      <c r="J25" s="207" t="s">
        <v>63</v>
      </c>
      <c r="K25" s="150"/>
      <c r="L25" s="150"/>
      <c r="M25" s="150">
        <v>0</v>
      </c>
      <c r="N25" s="150">
        <v>0</v>
      </c>
      <c r="O25" s="150">
        <v>0</v>
      </c>
      <c r="P25" s="209"/>
      <c r="Q25" s="151" t="s">
        <v>20059</v>
      </c>
      <c r="R25" s="149" t="str">
        <f ca="1">IF(ISERROR($V25),"",OFFSET('Smelter Look-up'!$C$4,$V25-4,0)&amp;"")</f>
        <v>Societe pour le Traitment du Terril de Lubumbashi (STL)</v>
      </c>
      <c r="S25" s="155" t="str">
        <f t="shared" ca="1" si="3"/>
        <v>CD</v>
      </c>
      <c r="T25" s="155" t="str">
        <f ca="1">IF(B25="","",IF(ISERROR(MATCH($J25,SorP!$B$1:$B$6226,0)),"",INDIRECT("'SorP'!$A$"&amp;MATCH($S25&amp;$J25,SorP!C:C,0))))</f>
        <v>CD-HK</v>
      </c>
      <c r="U25" s="168"/>
      <c r="V25" s="169">
        <f>IF(C25="",NA(),MATCH($B25&amp;$C25,'Smelter Look-up'!$J:$J,0))</f>
        <v>141</v>
      </c>
      <c r="X25" s="170">
        <f t="shared" si="4"/>
        <v>0</v>
      </c>
      <c r="AB25" s="314" t="str">
        <f t="shared" si="5"/>
        <v>Cobalt</v>
      </c>
    </row>
    <row r="26" spans="1:28" s="170" customFormat="1" ht="25.2">
      <c r="A26" s="155" t="s">
        <v>183</v>
      </c>
      <c r="B26" s="304" t="s">
        <v>40</v>
      </c>
      <c r="C26" s="152" t="s">
        <v>12202</v>
      </c>
      <c r="D26" s="149"/>
      <c r="E26" s="149" t="s">
        <v>60</v>
      </c>
      <c r="F26" s="149" t="s">
        <v>183</v>
      </c>
      <c r="G26" s="149" t="s">
        <v>12</v>
      </c>
      <c r="H26" s="206">
        <v>0</v>
      </c>
      <c r="I26" s="207" t="s">
        <v>62</v>
      </c>
      <c r="J26" s="207" t="s">
        <v>63</v>
      </c>
      <c r="K26" s="150"/>
      <c r="L26" s="150"/>
      <c r="M26" s="150">
        <v>0</v>
      </c>
      <c r="N26" s="150">
        <v>0</v>
      </c>
      <c r="O26" s="150">
        <v>0</v>
      </c>
      <c r="P26" s="209"/>
      <c r="Q26" s="151" t="s">
        <v>20059</v>
      </c>
      <c r="R26" s="149" t="str">
        <f ca="1">IF(ISERROR($V26),"",OFFSET('Smelter Look-up'!$C$4,$V26-4,0)&amp;"")</f>
        <v>La Compagnie de Traitement des Rejets de Kingamyambo S.A. (Metalkol S.A.)</v>
      </c>
      <c r="S26" s="155" t="str">
        <f t="shared" ca="1" si="3"/>
        <v>CD</v>
      </c>
      <c r="T26" s="155" t="str">
        <f ca="1">IF(B26="","",IF(ISERROR(MATCH($J26,SorP!$B$1:$B$6226,0)),"",INDIRECT("'SorP'!$A$"&amp;MATCH($S26&amp;$J26,SorP!C:C,0))))</f>
        <v>CD-HK</v>
      </c>
      <c r="U26" s="168"/>
      <c r="V26" s="169">
        <f>IF(C26="",NA(),MATCH($B26&amp;$C26,'Smelter Look-up'!$J:$J,0))</f>
        <v>84</v>
      </c>
      <c r="X26" s="170">
        <f t="shared" si="4"/>
        <v>0</v>
      </c>
      <c r="AB26" s="314" t="str">
        <f t="shared" si="5"/>
        <v>Cobalt</v>
      </c>
    </row>
    <row r="27" spans="1:28" s="170" customFormat="1" ht="20.399999999999999">
      <c r="A27" s="155" t="s">
        <v>239</v>
      </c>
      <c r="B27" s="304" t="s">
        <v>40</v>
      </c>
      <c r="C27" s="152" t="s">
        <v>12059</v>
      </c>
      <c r="D27" s="149"/>
      <c r="E27" s="149" t="s">
        <v>133</v>
      </c>
      <c r="F27" s="149" t="s">
        <v>239</v>
      </c>
      <c r="G27" s="149" t="s">
        <v>12</v>
      </c>
      <c r="H27" s="206">
        <v>0</v>
      </c>
      <c r="I27" s="207" t="s">
        <v>240</v>
      </c>
      <c r="J27" s="207" t="s">
        <v>241</v>
      </c>
      <c r="K27" s="150"/>
      <c r="L27" s="150"/>
      <c r="M27" s="150">
        <v>0</v>
      </c>
      <c r="N27" s="150">
        <v>0</v>
      </c>
      <c r="O27" s="150">
        <v>0</v>
      </c>
      <c r="P27" s="209"/>
      <c r="Q27" s="151" t="s">
        <v>20059</v>
      </c>
      <c r="R27" s="149" t="str">
        <f ca="1">IF(ISERROR($V27),"",OFFSET('Smelter Look-up'!$C$4,$V27-4,0)&amp;"")</f>
        <v>Niihama Nickel Refinery, Sumitomo Metal Mining</v>
      </c>
      <c r="S27" s="155" t="str">
        <f t="shared" ca="1" si="3"/>
        <v>JP</v>
      </c>
      <c r="T27" s="155" t="str">
        <f ca="1">IF(B27="","",IF(ISERROR(MATCH($J27,SorP!$B$1:$B$6226,0)),"",INDIRECT("'SorP'!$A$"&amp;MATCH($S27&amp;$J27,SorP!C:C,0))))</f>
        <v>JP-38</v>
      </c>
      <c r="U27" s="168"/>
      <c r="V27" s="169">
        <f>IF(C27="",NA(),MATCH($B27&amp;$C27,'Smelter Look-up'!$J:$J,0))</f>
        <v>122</v>
      </c>
      <c r="X27" s="170">
        <f t="shared" si="4"/>
        <v>0</v>
      </c>
      <c r="AB27" s="314" t="str">
        <f t="shared" si="5"/>
        <v>Cobalt</v>
      </c>
    </row>
    <row r="28" spans="1:28" s="170" customFormat="1" ht="20.399999999999999">
      <c r="A28" s="155" t="s">
        <v>20069</v>
      </c>
      <c r="B28" s="304" t="s">
        <v>40</v>
      </c>
      <c r="C28" s="152" t="s">
        <v>20070</v>
      </c>
      <c r="D28" s="149"/>
      <c r="E28" s="149" t="s">
        <v>71</v>
      </c>
      <c r="F28" s="149" t="s">
        <v>20069</v>
      </c>
      <c r="G28" s="149" t="s">
        <v>12</v>
      </c>
      <c r="H28" s="206">
        <v>0</v>
      </c>
      <c r="I28" s="207" t="s">
        <v>20071</v>
      </c>
      <c r="J28" s="207" t="s">
        <v>224</v>
      </c>
      <c r="K28" s="150"/>
      <c r="L28" s="150"/>
      <c r="M28" s="150">
        <v>0</v>
      </c>
      <c r="N28" s="150">
        <v>0</v>
      </c>
      <c r="O28" s="150">
        <v>0</v>
      </c>
      <c r="P28" s="209"/>
      <c r="Q28" s="151" t="s">
        <v>20059</v>
      </c>
      <c r="R28" s="149" t="str">
        <f ca="1">IF(ISERROR($V28),"",OFFSET('Smelter Look-up'!$C$4,$V28-4,0)&amp;"")</f>
        <v/>
      </c>
      <c r="S28" s="155" t="str">
        <f t="shared" ca="1" si="3"/>
        <v>MA</v>
      </c>
      <c r="T28" s="155" t="str">
        <f ca="1">IF(B28="","",IF(ISERROR(MATCH($J28,SorP!$B$1:$B$6226,0)),"",INDIRECT("'SorP'!$A$"&amp;MATCH($S28&amp;$J28,SorP!C:C,0))))</f>
        <v>MA-08</v>
      </c>
      <c r="U28" s="168"/>
      <c r="V28" s="169" t="e">
        <f>IF(C28="",NA(),MATCH($B28&amp;$C28,'Smelter Look-up'!$J:$J,0))</f>
        <v>#N/A</v>
      </c>
      <c r="X28" s="170">
        <f t="shared" si="4"/>
        <v>0</v>
      </c>
      <c r="AB28" s="314" t="str">
        <f t="shared" si="5"/>
        <v>Cobalt</v>
      </c>
    </row>
    <row r="29" spans="1:28" s="170" customFormat="1" ht="20.399999999999999">
      <c r="A29" s="155" t="s">
        <v>72</v>
      </c>
      <c r="B29" s="304" t="s">
        <v>40</v>
      </c>
      <c r="C29" s="152" t="s">
        <v>70</v>
      </c>
      <c r="D29" s="149"/>
      <c r="E29" s="149" t="s">
        <v>71</v>
      </c>
      <c r="F29" s="149" t="s">
        <v>72</v>
      </c>
      <c r="G29" s="149" t="s">
        <v>12</v>
      </c>
      <c r="H29" s="206">
        <v>0</v>
      </c>
      <c r="I29" s="207" t="s">
        <v>73</v>
      </c>
      <c r="J29" s="207" t="s">
        <v>7357</v>
      </c>
      <c r="K29" s="150"/>
      <c r="L29" s="150"/>
      <c r="M29" s="150">
        <v>0</v>
      </c>
      <c r="N29" s="150">
        <v>0</v>
      </c>
      <c r="O29" s="150">
        <v>0</v>
      </c>
      <c r="P29" s="209"/>
      <c r="Q29" s="151" t="s">
        <v>20059</v>
      </c>
      <c r="R29" s="149" t="str">
        <f ca="1">IF(ISERROR($V29),"",OFFSET('Smelter Look-up'!$C$4,$V29-4,0)&amp;"")</f>
        <v>Compagnie de Tifnout Tiranimine</v>
      </c>
      <c r="S29" s="155" t="str">
        <f t="shared" ca="1" si="3"/>
        <v>MA</v>
      </c>
      <c r="T29" s="155" t="str">
        <f ca="1">IF(B29="","",IF(ISERROR(MATCH($J29,SorP!$B$1:$B$6226,0)),"",INDIRECT("'SorP'!$A$"&amp;MATCH($S29&amp;$J29,SorP!C:C,0))))</f>
        <v>MA-07</v>
      </c>
      <c r="U29" s="168"/>
      <c r="V29" s="169">
        <f>IF(C29="",NA(),MATCH($B29&amp;$C29,'Smelter Look-up'!$J:$J,0))</f>
        <v>12</v>
      </c>
      <c r="X29" s="170">
        <f t="shared" si="4"/>
        <v>0</v>
      </c>
      <c r="AB29" s="314" t="str">
        <f t="shared" si="5"/>
        <v>Cobalt</v>
      </c>
    </row>
    <row r="30" spans="1:28" s="170" customFormat="1" ht="20.399999999999999">
      <c r="A30" s="155" t="s">
        <v>120</v>
      </c>
      <c r="B30" s="304" t="s">
        <v>40</v>
      </c>
      <c r="C30" s="152" t="s">
        <v>119</v>
      </c>
      <c r="D30" s="149"/>
      <c r="E30" s="149" t="s">
        <v>65</v>
      </c>
      <c r="F30" s="149" t="s">
        <v>120</v>
      </c>
      <c r="G30" s="149" t="s">
        <v>12</v>
      </c>
      <c r="H30" s="206">
        <v>0</v>
      </c>
      <c r="I30" s="207" t="s">
        <v>121</v>
      </c>
      <c r="J30" s="207" t="s">
        <v>122</v>
      </c>
      <c r="K30" s="150"/>
      <c r="L30" s="150"/>
      <c r="M30" s="150">
        <v>0</v>
      </c>
      <c r="N30" s="150">
        <v>0</v>
      </c>
      <c r="O30" s="150">
        <v>0</v>
      </c>
      <c r="P30" s="209"/>
      <c r="Q30" s="151" t="s">
        <v>20059</v>
      </c>
      <c r="R30" s="149" t="str">
        <f ca="1">IF(ISERROR($V30),"",OFFSET('Smelter Look-up'!$C$4,$V30-4,0)&amp;"")</f>
        <v>Guangdong Jiana Energy Technology Co., Ltd.</v>
      </c>
      <c r="S30" s="155" t="str">
        <f t="shared" ca="1" si="3"/>
        <v>CN</v>
      </c>
      <c r="T30" s="155" t="str">
        <f ca="1">IF(B30="","",IF(ISERROR(MATCH($J30,SorP!$B$1:$B$6226,0)),"",INDIRECT("'SorP'!$A$"&amp;MATCH($S30&amp;$J30,SorP!C:C,0))))</f>
        <v>CN-GD</v>
      </c>
      <c r="U30" s="168"/>
      <c r="V30" s="169">
        <f>IF(C30="",NA(),MATCH($B30&amp;$C30,'Smelter Look-up'!$J:$J,0))</f>
        <v>40</v>
      </c>
      <c r="X30" s="170">
        <f t="shared" si="4"/>
        <v>0</v>
      </c>
      <c r="AB30" s="314" t="str">
        <f t="shared" si="5"/>
        <v>Cobalt</v>
      </c>
    </row>
    <row r="31" spans="1:28" s="170" customFormat="1" ht="20.399999999999999">
      <c r="A31" s="155" t="s">
        <v>164</v>
      </c>
      <c r="B31" s="304" t="s">
        <v>40</v>
      </c>
      <c r="C31" s="152" t="s">
        <v>163</v>
      </c>
      <c r="D31" s="149"/>
      <c r="E31" s="149" t="s">
        <v>65</v>
      </c>
      <c r="F31" s="149" t="s">
        <v>164</v>
      </c>
      <c r="G31" s="149" t="s">
        <v>12</v>
      </c>
      <c r="H31" s="206">
        <v>0</v>
      </c>
      <c r="I31" s="207" t="s">
        <v>165</v>
      </c>
      <c r="J31" s="207" t="s">
        <v>114</v>
      </c>
      <c r="K31" s="150"/>
      <c r="L31" s="150"/>
      <c r="M31" s="150">
        <v>0</v>
      </c>
      <c r="N31" s="150">
        <v>0</v>
      </c>
      <c r="O31" s="150">
        <v>0</v>
      </c>
      <c r="P31" s="209"/>
      <c r="Q31" s="151" t="s">
        <v>20059</v>
      </c>
      <c r="R31" s="149" t="str">
        <f ca="1">IF(ISERROR($V31),"",OFFSET('Smelter Look-up'!$C$4,$V31-4,0)&amp;"")</f>
        <v>Jiangsu Xiongfeng Technology Co., Ltd.</v>
      </c>
      <c r="S31" s="155" t="str">
        <f t="shared" ca="1" si="3"/>
        <v>CN</v>
      </c>
      <c r="T31" s="155" t="str">
        <f ca="1">IF(B31="","",IF(ISERROR(MATCH($J31,SorP!$B$1:$B$6226,0)),"",INDIRECT("'SorP'!$A$"&amp;MATCH($S31&amp;$J31,SorP!C:C,0))))</f>
        <v>CN-JS</v>
      </c>
      <c r="U31" s="168"/>
      <c r="V31" s="169">
        <f>IF(C31="",NA(),MATCH($B31&amp;$C31,'Smelter Look-up'!$J:$J,0))</f>
        <v>68</v>
      </c>
      <c r="X31" s="170">
        <f t="shared" si="4"/>
        <v>0</v>
      </c>
      <c r="AB31" s="314" t="str">
        <f t="shared" si="5"/>
        <v>Cobalt</v>
      </c>
    </row>
    <row r="32" spans="1:28" s="170" customFormat="1" ht="50.4">
      <c r="A32" s="155" t="s">
        <v>287</v>
      </c>
      <c r="B32" s="304" t="s">
        <v>40</v>
      </c>
      <c r="C32" s="152" t="s">
        <v>285</v>
      </c>
      <c r="D32" s="149"/>
      <c r="E32" s="149" t="s">
        <v>1455</v>
      </c>
      <c r="F32" s="149" t="s">
        <v>287</v>
      </c>
      <c r="G32" s="149" t="s">
        <v>12</v>
      </c>
      <c r="H32" s="206">
        <v>0</v>
      </c>
      <c r="I32" s="207" t="s">
        <v>12061</v>
      </c>
      <c r="J32" s="207" t="s">
        <v>4460</v>
      </c>
      <c r="K32" s="150"/>
      <c r="L32" s="150"/>
      <c r="M32" s="150" t="s">
        <v>20060</v>
      </c>
      <c r="N32" s="150">
        <v>0</v>
      </c>
      <c r="O32" s="150">
        <v>0</v>
      </c>
      <c r="P32" s="209"/>
      <c r="Q32" s="151" t="s">
        <v>20061</v>
      </c>
      <c r="R32" s="149" t="str">
        <f ca="1">IF(ISERROR($V32),"",OFFSET('Smelter Look-up'!$C$4,$V32-4,0)&amp;"")</f>
        <v>Prony Resources New Caledonia</v>
      </c>
      <c r="S32" s="155" t="str">
        <f t="shared" ca="1" si="3"/>
        <v>FR</v>
      </c>
      <c r="T32" s="155" t="str">
        <f ca="1">IF(B32="","",IF(ISERROR(MATCH($J32,SorP!$B$1:$B$6226,0)),"",INDIRECT("'SorP'!$A$"&amp;MATCH($S32&amp;$J32,SorP!C:C,0))))</f>
        <v>FR-NC</v>
      </c>
      <c r="U32" s="168"/>
      <c r="V32" s="169">
        <f>IF(C32="",NA(),MATCH($B32&amp;$C32,'Smelter Look-up'!$J:$J,0))</f>
        <v>157</v>
      </c>
      <c r="X32" s="170">
        <f t="shared" si="4"/>
        <v>0</v>
      </c>
      <c r="AB32" s="314" t="str">
        <f t="shared" si="5"/>
        <v>Cobalt</v>
      </c>
    </row>
    <row r="33" spans="1:28" s="170" customFormat="1" ht="20.399999999999999">
      <c r="A33" s="155" t="s">
        <v>269</v>
      </c>
      <c r="B33" s="304" t="s">
        <v>40</v>
      </c>
      <c r="C33" s="152" t="s">
        <v>268</v>
      </c>
      <c r="D33" s="149"/>
      <c r="E33" s="149" t="s">
        <v>81</v>
      </c>
      <c r="F33" s="149" t="s">
        <v>269</v>
      </c>
      <c r="G33" s="149" t="s">
        <v>12</v>
      </c>
      <c r="H33" s="206">
        <v>0</v>
      </c>
      <c r="I33" s="207" t="s">
        <v>270</v>
      </c>
      <c r="J33" s="207" t="s">
        <v>271</v>
      </c>
      <c r="K33" s="150"/>
      <c r="L33" s="150"/>
      <c r="M33" s="150">
        <v>0</v>
      </c>
      <c r="N33" s="150">
        <v>0</v>
      </c>
      <c r="O33" s="150">
        <v>0</v>
      </c>
      <c r="P33" s="209"/>
      <c r="Q33" s="151" t="s">
        <v>20059</v>
      </c>
      <c r="R33" s="149" t="str">
        <f ca="1">IF(ISERROR($V33),"",OFFSET('Smelter Look-up'!$C$4,$V33-4,0)&amp;"")</f>
        <v>SungEel HiTech Co., Ltd.</v>
      </c>
      <c r="S33" s="155" t="str">
        <f t="shared" ca="1" si="3"/>
        <v>KR</v>
      </c>
      <c r="T33" s="155" t="str">
        <f ca="1">IF(B33="","",IF(ISERROR(MATCH($J33,SorP!$B$1:$B$6226,0)),"",INDIRECT("'SorP'!$A$"&amp;MATCH($S33&amp;$J33,SorP!C:C,0))))</f>
        <v>KR-45</v>
      </c>
      <c r="U33" s="168"/>
      <c r="V33" s="169">
        <f>IF(C33="",NA(),MATCH($B33&amp;$C33,'Smelter Look-up'!$J:$J,0))</f>
        <v>144</v>
      </c>
      <c r="X33" s="170">
        <f t="shared" si="4"/>
        <v>0</v>
      </c>
      <c r="AB33" s="314" t="str">
        <f t="shared" si="5"/>
        <v>Cobalt</v>
      </c>
    </row>
    <row r="34" spans="1:28" s="170" customFormat="1" ht="50.4">
      <c r="A34" s="155" t="s">
        <v>296</v>
      </c>
      <c r="B34" s="304" t="s">
        <v>40</v>
      </c>
      <c r="C34" s="152" t="s">
        <v>295</v>
      </c>
      <c r="D34" s="149"/>
      <c r="E34" s="149" t="s">
        <v>65</v>
      </c>
      <c r="F34" s="149" t="s">
        <v>296</v>
      </c>
      <c r="G34" s="149" t="s">
        <v>12</v>
      </c>
      <c r="H34" s="206">
        <v>0</v>
      </c>
      <c r="I34" s="207" t="s">
        <v>297</v>
      </c>
      <c r="J34" s="207" t="s">
        <v>298</v>
      </c>
      <c r="K34" s="150"/>
      <c r="L34" s="150"/>
      <c r="M34" s="150" t="s">
        <v>20062</v>
      </c>
      <c r="N34" s="150">
        <v>0</v>
      </c>
      <c r="O34" s="150">
        <v>0</v>
      </c>
      <c r="P34" s="209"/>
      <c r="Q34" s="151" t="s">
        <v>20068</v>
      </c>
      <c r="R34" s="149" t="str">
        <f ca="1">IF(ISERROR($V34),"",OFFSET('Smelter Look-up'!$C$4,$V34-4,0)&amp;"")</f>
        <v>XTC New Energy Materials (Xiamen) LTD.</v>
      </c>
      <c r="S34" s="155" t="str">
        <f t="shared" ca="1" si="3"/>
        <v>CN</v>
      </c>
      <c r="T34" s="155" t="str">
        <f ca="1">IF(B34="","",IF(ISERROR(MATCH($J34,SorP!$B$1:$B$6226,0)),"",INDIRECT("'SorP'!$A$"&amp;MATCH($S34&amp;$J34,SorP!C:C,0))))</f>
        <v>CN-FJ</v>
      </c>
      <c r="U34" s="168"/>
      <c r="V34" s="169">
        <f>IF(C34="",NA(),MATCH($B34&amp;$C34,'Smelter Look-up'!$J:$J,0))</f>
        <v>164</v>
      </c>
      <c r="X34" s="170">
        <f t="shared" si="4"/>
        <v>0</v>
      </c>
      <c r="AB34" s="314" t="str">
        <f t="shared" si="5"/>
        <v>Cobalt</v>
      </c>
    </row>
    <row r="35" spans="1:28" s="170" customFormat="1" ht="20.399999999999999">
      <c r="A35" s="155" t="s">
        <v>166</v>
      </c>
      <c r="B35" s="304" t="s">
        <v>40</v>
      </c>
      <c r="C35" s="152" t="s">
        <v>20072</v>
      </c>
      <c r="D35" s="149"/>
      <c r="E35" s="149" t="s">
        <v>65</v>
      </c>
      <c r="F35" s="149" t="s">
        <v>166</v>
      </c>
      <c r="G35" s="149" t="s">
        <v>12</v>
      </c>
      <c r="H35" s="206">
        <v>0</v>
      </c>
      <c r="I35" s="207" t="s">
        <v>105</v>
      </c>
      <c r="J35" s="207" t="s">
        <v>106</v>
      </c>
      <c r="K35" s="150"/>
      <c r="L35" s="150"/>
      <c r="M35" s="150">
        <v>0</v>
      </c>
      <c r="N35" s="150">
        <v>0</v>
      </c>
      <c r="O35" s="150">
        <v>0</v>
      </c>
      <c r="P35" s="209"/>
      <c r="Q35" s="151" t="s">
        <v>20059</v>
      </c>
      <c r="R35" s="149" t="str">
        <f ca="1">IF(ISERROR($V35),"",OFFSET('Smelter Look-up'!$C$4,$V35-4,0)&amp;"")</f>
        <v>Jiangxi Jiangwu Cobalt Industrial Co., Ltd.</v>
      </c>
      <c r="S35" s="155" t="str">
        <f t="shared" ca="1" si="3"/>
        <v>CN</v>
      </c>
      <c r="T35" s="155" t="str">
        <f ca="1">IF(B35="","",IF(ISERROR(MATCH($J35,SorP!$B$1:$B$6226,0)),"",INDIRECT("'SorP'!$A$"&amp;MATCH($S35&amp;$J35,SorP!C:C,0))))</f>
        <v>CN-JX</v>
      </c>
      <c r="U35" s="168"/>
      <c r="V35" s="169">
        <f>IF(C35="",NA(),MATCH($B35&amp;$C35,'Smelter Look-up'!$J:$J,0))</f>
        <v>69</v>
      </c>
      <c r="X35" s="170">
        <f t="shared" si="4"/>
        <v>0</v>
      </c>
      <c r="AB35" s="314" t="str">
        <f t="shared" si="5"/>
        <v>Cobalt</v>
      </c>
    </row>
    <row r="36" spans="1:28" s="170" customFormat="1" ht="20.399999999999999">
      <c r="A36" s="155" t="s">
        <v>169</v>
      </c>
      <c r="B36" s="304" t="s">
        <v>40</v>
      </c>
      <c r="C36" s="152" t="s">
        <v>168</v>
      </c>
      <c r="D36" s="149"/>
      <c r="E36" s="149" t="s">
        <v>65</v>
      </c>
      <c r="F36" s="149" t="s">
        <v>169</v>
      </c>
      <c r="G36" s="149" t="s">
        <v>12</v>
      </c>
      <c r="H36" s="206">
        <v>0</v>
      </c>
      <c r="I36" s="207" t="s">
        <v>170</v>
      </c>
      <c r="J36" s="207" t="s">
        <v>171</v>
      </c>
      <c r="K36" s="150"/>
      <c r="L36" s="150"/>
      <c r="M36" s="150">
        <v>0</v>
      </c>
      <c r="N36" s="150">
        <v>0</v>
      </c>
      <c r="O36" s="150">
        <v>0</v>
      </c>
      <c r="P36" s="209"/>
      <c r="Q36" s="151" t="s">
        <v>20059</v>
      </c>
      <c r="R36" s="149" t="str">
        <f ca="1">IF(ISERROR($V36),"",OFFSET('Smelter Look-up'!$C$4,$V36-4,0)&amp;"")</f>
        <v>Jingmen GEM Co., Ltd.</v>
      </c>
      <c r="S36" s="155" t="str">
        <f t="shared" ca="1" si="3"/>
        <v>CN</v>
      </c>
      <c r="T36" s="155" t="str">
        <f ca="1">IF(B36="","",IF(ISERROR(MATCH($J36,SorP!$B$1:$B$6226,0)),"",INDIRECT("'SorP'!$A$"&amp;MATCH($S36&amp;$J36,SorP!C:C,0))))</f>
        <v>CN-HB</v>
      </c>
      <c r="U36" s="168"/>
      <c r="V36" s="169">
        <f>IF(C36="",NA(),MATCH($B36&amp;$C36,'Smelter Look-up'!$J:$J,0))</f>
        <v>74</v>
      </c>
      <c r="X36" s="170">
        <f t="shared" si="4"/>
        <v>0</v>
      </c>
      <c r="AB36" s="314" t="str">
        <f t="shared" si="5"/>
        <v>Cobalt</v>
      </c>
    </row>
    <row r="37" spans="1:28" s="170" customFormat="1" ht="20.399999999999999">
      <c r="A37" s="155" t="s">
        <v>108</v>
      </c>
      <c r="B37" s="304" t="s">
        <v>40</v>
      </c>
      <c r="C37" s="152" t="s">
        <v>107</v>
      </c>
      <c r="D37" s="149"/>
      <c r="E37" s="149" t="s">
        <v>65</v>
      </c>
      <c r="F37" s="149" t="s">
        <v>108</v>
      </c>
      <c r="G37" s="149" t="s">
        <v>12</v>
      </c>
      <c r="H37" s="206">
        <v>0</v>
      </c>
      <c r="I37" s="207" t="s">
        <v>105</v>
      </c>
      <c r="J37" s="207" t="s">
        <v>106</v>
      </c>
      <c r="K37" s="150"/>
      <c r="L37" s="150"/>
      <c r="M37" s="150">
        <v>0</v>
      </c>
      <c r="N37" s="150">
        <v>0</v>
      </c>
      <c r="O37" s="150">
        <v>0</v>
      </c>
      <c r="P37" s="209"/>
      <c r="Q37" s="151" t="s">
        <v>20059</v>
      </c>
      <c r="R37" s="149" t="str">
        <f ca="1">IF(ISERROR($V37),"",OFFSET('Smelter Look-up'!$C$4,$V37-4,0)&amp;"")</f>
        <v>Ganzhou Highpower Technology Co., Ltd.</v>
      </c>
      <c r="S37" s="155" t="str">
        <f t="shared" ca="1" si="3"/>
        <v>CN</v>
      </c>
      <c r="T37" s="155" t="str">
        <f ca="1">IF(B37="","",IF(ISERROR(MATCH($J37,SorP!$B$1:$B$6226,0)),"",INDIRECT("'SorP'!$A$"&amp;MATCH($S37&amp;$J37,SorP!C:C,0))))</f>
        <v>CN-JX</v>
      </c>
      <c r="U37" s="168"/>
      <c r="V37" s="169">
        <f>IF(C37="",NA(),MATCH($B37&amp;$C37,'Smelter Look-up'!$J:$J,0))</f>
        <v>34</v>
      </c>
      <c r="X37" s="170">
        <f t="shared" si="4"/>
        <v>0</v>
      </c>
      <c r="AB37" s="314" t="str">
        <f t="shared" si="5"/>
        <v>Cobalt</v>
      </c>
    </row>
    <row r="38" spans="1:28" s="170" customFormat="1" ht="20.399999999999999">
      <c r="A38" s="155" t="s">
        <v>246</v>
      </c>
      <c r="B38" s="304" t="s">
        <v>40</v>
      </c>
      <c r="C38" s="152" t="s">
        <v>245</v>
      </c>
      <c r="D38" s="149"/>
      <c r="E38" s="149" t="s">
        <v>101</v>
      </c>
      <c r="F38" s="149" t="s">
        <v>246</v>
      </c>
      <c r="G38" s="149" t="s">
        <v>12</v>
      </c>
      <c r="H38" s="206">
        <v>0</v>
      </c>
      <c r="I38" s="207" t="s">
        <v>247</v>
      </c>
      <c r="J38" s="207" t="s">
        <v>248</v>
      </c>
      <c r="K38" s="150"/>
      <c r="L38" s="150"/>
      <c r="M38" s="150">
        <v>0</v>
      </c>
      <c r="N38" s="150">
        <v>0</v>
      </c>
      <c r="O38" s="150">
        <v>0</v>
      </c>
      <c r="P38" s="209"/>
      <c r="Q38" s="151" t="s">
        <v>20059</v>
      </c>
      <c r="R38" s="149" t="str">
        <f ca="1">IF(ISERROR($V38),"",OFFSET('Smelter Look-up'!$C$4,$V38-4,0)&amp;"")</f>
        <v>NORILSK NICKEL HARJAVALTA OY</v>
      </c>
      <c r="S38" s="155" t="str">
        <f t="shared" ca="1" si="3"/>
        <v>FI</v>
      </c>
      <c r="T38" s="155" t="str">
        <f ca="1">IF(B38="","",IF(ISERROR(MATCH($J38,SorP!$B$1:$B$6226,0)),"",INDIRECT("'SorP'!$A$"&amp;MATCH($S38&amp;$J38,SorP!C:C,0))))</f>
        <v>FI-17</v>
      </c>
      <c r="U38" s="168"/>
      <c r="V38" s="169">
        <f>IF(C38="",NA(),MATCH($B38&amp;$C38,'Smelter Look-up'!$J:$J,0))</f>
        <v>124</v>
      </c>
      <c r="X38" s="170">
        <f t="shared" si="4"/>
        <v>0</v>
      </c>
      <c r="AB38" s="314" t="str">
        <f t="shared" si="5"/>
        <v>Cobalt</v>
      </c>
    </row>
    <row r="39" spans="1:28" s="170" customFormat="1" ht="25.2">
      <c r="A39" s="155" t="s">
        <v>235</v>
      </c>
      <c r="B39" s="304" t="s">
        <v>40</v>
      </c>
      <c r="C39" s="152" t="s">
        <v>12210</v>
      </c>
      <c r="D39" s="149"/>
      <c r="E39" s="149" t="s">
        <v>65</v>
      </c>
      <c r="F39" s="149" t="s">
        <v>235</v>
      </c>
      <c r="G39" s="149" t="s">
        <v>12</v>
      </c>
      <c r="H39" s="206">
        <v>0</v>
      </c>
      <c r="I39" s="207" t="s">
        <v>204</v>
      </c>
      <c r="J39" s="207" t="s">
        <v>205</v>
      </c>
      <c r="K39" s="150"/>
      <c r="L39" s="150"/>
      <c r="M39" s="150">
        <v>0</v>
      </c>
      <c r="N39" s="150">
        <v>0</v>
      </c>
      <c r="O39" s="150">
        <v>0</v>
      </c>
      <c r="P39" s="209"/>
      <c r="Q39" s="151" t="s">
        <v>20059</v>
      </c>
      <c r="R39" s="149" t="str">
        <f ca="1">IF(ISERROR($V39),"",OFFSET('Smelter Look-up'!$C$4,$V39-4,0)&amp;"")</f>
        <v>Zhejiang New Era Zhongneng Technology Co., Ltd.</v>
      </c>
      <c r="S39" s="155" t="str">
        <f t="shared" ca="1" si="3"/>
        <v>CN</v>
      </c>
      <c r="T39" s="155" t="str">
        <f ca="1">IF(B39="","",IF(ISERROR(MATCH($J39,SorP!$B$1:$B$6226,0)),"",INDIRECT("'SorP'!$A$"&amp;MATCH($S39&amp;$J39,SorP!C:C,0))))</f>
        <v>CN-ZJ</v>
      </c>
      <c r="U39" s="168"/>
      <c r="V39" s="169">
        <f>IF(C39="",NA(),MATCH($B39&amp;$C39,'Smelter Look-up'!$J:$J,0))</f>
        <v>171</v>
      </c>
      <c r="X39" s="170">
        <f t="shared" si="4"/>
        <v>0</v>
      </c>
      <c r="AB39" s="314" t="str">
        <f t="shared" si="5"/>
        <v>Cobalt</v>
      </c>
    </row>
    <row r="40" spans="1:28" s="170" customFormat="1" ht="20.399999999999999">
      <c r="A40" s="155" t="s">
        <v>117</v>
      </c>
      <c r="B40" s="304" t="s">
        <v>40</v>
      </c>
      <c r="C40" s="152" t="s">
        <v>115</v>
      </c>
      <c r="D40" s="149"/>
      <c r="E40" s="149" t="s">
        <v>116</v>
      </c>
      <c r="F40" s="149" t="s">
        <v>117</v>
      </c>
      <c r="G40" s="149" t="s">
        <v>12</v>
      </c>
      <c r="H40" s="206">
        <v>0</v>
      </c>
      <c r="I40" s="207" t="s">
        <v>118</v>
      </c>
      <c r="J40" s="207" t="s">
        <v>20073</v>
      </c>
      <c r="K40" s="150"/>
      <c r="L40" s="150"/>
      <c r="M40" s="150" t="s">
        <v>20060</v>
      </c>
      <c r="N40" s="150">
        <v>0</v>
      </c>
      <c r="O40" s="150">
        <v>0</v>
      </c>
      <c r="P40" s="209"/>
      <c r="Q40" s="151" t="s">
        <v>20061</v>
      </c>
      <c r="R40" s="149" t="str">
        <f ca="1">IF(ISERROR($V40),"",OFFSET('Smelter Look-up'!$C$4,$V40-4,0)&amp;"")</f>
        <v>Glencore Nikkelverk Refinery</v>
      </c>
      <c r="S40" s="155" t="str">
        <f t="shared" ca="1" si="3"/>
        <v>NO</v>
      </c>
      <c r="T40" s="155" t="str">
        <f ca="1">IF(B40="","",IF(ISERROR(MATCH($J40,SorP!$B$1:$B$6226,0)),"",INDIRECT("'SorP'!$A$"&amp;MATCH($S40&amp;$J40,SorP!C:C,0))))</f>
        <v/>
      </c>
      <c r="U40" s="168"/>
      <c r="V40" s="169">
        <f>IF(C40="",NA(),MATCH($B40&amp;$C40,'Smelter Look-up'!$J:$J,0))</f>
        <v>38</v>
      </c>
      <c r="X40" s="170">
        <f t="shared" si="4"/>
        <v>0</v>
      </c>
      <c r="AB40" s="314" t="str">
        <f t="shared" si="5"/>
        <v>Cobalt</v>
      </c>
    </row>
    <row r="41" spans="1:28" s="170" customFormat="1" ht="20.399999999999999">
      <c r="A41" s="155" t="s">
        <v>153</v>
      </c>
      <c r="B41" s="304" t="s">
        <v>40</v>
      </c>
      <c r="C41" s="152" t="s">
        <v>152</v>
      </c>
      <c r="D41" s="149"/>
      <c r="E41" s="149" t="s">
        <v>65</v>
      </c>
      <c r="F41" s="149" t="s">
        <v>153</v>
      </c>
      <c r="G41" s="149" t="s">
        <v>12</v>
      </c>
      <c r="H41" s="206">
        <v>0</v>
      </c>
      <c r="I41" s="207" t="s">
        <v>142</v>
      </c>
      <c r="J41" s="207" t="s">
        <v>143</v>
      </c>
      <c r="K41" s="150"/>
      <c r="L41" s="150"/>
      <c r="M41" s="150">
        <v>0</v>
      </c>
      <c r="N41" s="150">
        <v>0</v>
      </c>
      <c r="O41" s="150">
        <v>0</v>
      </c>
      <c r="P41" s="209"/>
      <c r="Q41" s="151" t="s">
        <v>20059</v>
      </c>
      <c r="R41" s="149" t="str">
        <f ca="1">IF(ISERROR($V41),"",OFFSET('Smelter Look-up'!$C$4,$V41-4,0)&amp;"")</f>
        <v>Hunan Yacheng New Energy Co., Ltd.</v>
      </c>
      <c r="S41" s="155" t="str">
        <f t="shared" ca="1" si="3"/>
        <v>CN</v>
      </c>
      <c r="T41" s="155" t="str">
        <f ca="1">IF(B41="","",IF(ISERROR(MATCH($J41,SorP!$B$1:$B$6226,0)),"",INDIRECT("'SorP'!$A$"&amp;MATCH($S41&amp;$J41,SorP!C:C,0))))</f>
        <v>CN-HN</v>
      </c>
      <c r="U41" s="168"/>
      <c r="V41" s="169">
        <f>IF(C41="",NA(),MATCH($B41&amp;$C41,'Smelter Look-up'!$J:$J,0))</f>
        <v>55</v>
      </c>
      <c r="X41" s="170">
        <f t="shared" si="4"/>
        <v>0</v>
      </c>
      <c r="AB41" s="314" t="str">
        <f t="shared" si="5"/>
        <v>Cobalt</v>
      </c>
    </row>
    <row r="42" spans="1:28" s="170" customFormat="1" ht="20.399999999999999">
      <c r="A42" s="155" t="s">
        <v>220</v>
      </c>
      <c r="B42" s="304" t="s">
        <v>40</v>
      </c>
      <c r="C42" s="152" t="s">
        <v>218</v>
      </c>
      <c r="D42" s="149"/>
      <c r="E42" s="149" t="s">
        <v>219</v>
      </c>
      <c r="F42" s="149" t="s">
        <v>220</v>
      </c>
      <c r="G42" s="149" t="s">
        <v>12</v>
      </c>
      <c r="H42" s="206">
        <v>0</v>
      </c>
      <c r="I42" s="207" t="s">
        <v>221</v>
      </c>
      <c r="J42" s="207" t="s">
        <v>222</v>
      </c>
      <c r="K42" s="150"/>
      <c r="L42" s="150"/>
      <c r="M42" s="150">
        <v>0</v>
      </c>
      <c r="N42" s="150">
        <v>0</v>
      </c>
      <c r="O42" s="150">
        <v>0</v>
      </c>
      <c r="P42" s="209"/>
      <c r="Q42" s="151" t="s">
        <v>20059</v>
      </c>
      <c r="R42" s="149" t="str">
        <f ca="1">IF(ISERROR($V42),"",OFFSET('Smelter Look-up'!$C$4,$V42-4,0)&amp;"")</f>
        <v>Murrin Murrin Nickel Cobalt Plant</v>
      </c>
      <c r="S42" s="155" t="str">
        <f t="shared" ca="1" si="3"/>
        <v>AU</v>
      </c>
      <c r="T42" s="155" t="str">
        <f ca="1">IF(B42="","",IF(ISERROR(MATCH($J42,SorP!$B$1:$B$6226,0)),"",INDIRECT("'SorP'!$A$"&amp;MATCH($S42&amp;$J42,SorP!C:C,0))))</f>
        <v>AU-WA</v>
      </c>
      <c r="U42" s="168"/>
      <c r="V42" s="169">
        <f>IF(C42="",NA(),MATCH($B42&amp;$C42,'Smelter Look-up'!$J:$J,0))</f>
        <v>109</v>
      </c>
      <c r="X42" s="170">
        <f t="shared" si="4"/>
        <v>0</v>
      </c>
      <c r="AB42" s="314" t="str">
        <f t="shared" si="5"/>
        <v>Cobalt</v>
      </c>
    </row>
    <row r="43" spans="1:28" s="170" customFormat="1" ht="25.2">
      <c r="A43" s="155" t="s">
        <v>145</v>
      </c>
      <c r="B43" s="304" t="s">
        <v>40</v>
      </c>
      <c r="C43" s="152" t="s">
        <v>144</v>
      </c>
      <c r="D43" s="149"/>
      <c r="E43" s="149" t="s">
        <v>65</v>
      </c>
      <c r="F43" s="149" t="s">
        <v>145</v>
      </c>
      <c r="G43" s="149" t="s">
        <v>12</v>
      </c>
      <c r="H43" s="206">
        <v>0</v>
      </c>
      <c r="I43" s="207" t="s">
        <v>142</v>
      </c>
      <c r="J43" s="207" t="s">
        <v>143</v>
      </c>
      <c r="K43" s="150"/>
      <c r="L43" s="150"/>
      <c r="M43" s="150">
        <v>0</v>
      </c>
      <c r="N43" s="150">
        <v>0</v>
      </c>
      <c r="O43" s="150">
        <v>0</v>
      </c>
      <c r="P43" s="209"/>
      <c r="Q43" s="151" t="s">
        <v>20059</v>
      </c>
      <c r="R43" s="149" t="str">
        <f ca="1">IF(ISERROR($V43),"",OFFSET('Smelter Look-up'!$C$4,$V43-4,0)&amp;"")</f>
        <v>Hunan CNGR New Energy Science &amp; Technology Co., Ltd.</v>
      </c>
      <c r="S43" s="155" t="str">
        <f t="shared" ca="1" si="3"/>
        <v>CN</v>
      </c>
      <c r="T43" s="155" t="str">
        <f ca="1">IF(B43="","",IF(ISERROR(MATCH($J43,SorP!$B$1:$B$6226,0)),"",INDIRECT("'SorP'!$A$"&amp;MATCH($S43&amp;$J43,SorP!C:C,0))))</f>
        <v>CN-HN</v>
      </c>
      <c r="U43" s="168"/>
      <c r="V43" s="169">
        <f>IF(C43="",NA(),MATCH($B43&amp;$C43,'Smelter Look-up'!$J:$J,0))</f>
        <v>49</v>
      </c>
      <c r="X43" s="170">
        <f t="shared" si="4"/>
        <v>0</v>
      </c>
      <c r="AB43" s="314" t="str">
        <f t="shared" si="5"/>
        <v>Cobalt</v>
      </c>
    </row>
    <row r="44" spans="1:28" s="170" customFormat="1" ht="20.399999999999999">
      <c r="A44" s="155" t="s">
        <v>82</v>
      </c>
      <c r="B44" s="304" t="s">
        <v>40</v>
      </c>
      <c r="C44" s="152" t="s">
        <v>80</v>
      </c>
      <c r="D44" s="149"/>
      <c r="E44" s="149" t="s">
        <v>81</v>
      </c>
      <c r="F44" s="149" t="s">
        <v>82</v>
      </c>
      <c r="G44" s="149" t="s">
        <v>12</v>
      </c>
      <c r="H44" s="206">
        <v>0</v>
      </c>
      <c r="I44" s="207" t="s">
        <v>83</v>
      </c>
      <c r="J44" s="207" t="s">
        <v>84</v>
      </c>
      <c r="K44" s="150"/>
      <c r="L44" s="150"/>
      <c r="M44" s="150">
        <v>0</v>
      </c>
      <c r="N44" s="150">
        <v>0</v>
      </c>
      <c r="O44" s="150">
        <v>0</v>
      </c>
      <c r="P44" s="209"/>
      <c r="Q44" s="151" t="s">
        <v>20059</v>
      </c>
      <c r="R44" s="149" t="str">
        <f ca="1">IF(ISERROR($V44),"",OFFSET('Smelter Look-up'!$C$4,$V44-4,0)&amp;"")</f>
        <v>Cosmo Chemical, Ltd.</v>
      </c>
      <c r="S44" s="155" t="str">
        <f t="shared" ca="1" si="3"/>
        <v>KR</v>
      </c>
      <c r="T44" s="155" t="str">
        <f ca="1">IF(B44="","",IF(ISERROR(MATCH($J44,SorP!$B$1:$B$6226,0)),"",INDIRECT("'SorP'!$A$"&amp;MATCH($S44&amp;$J44,SorP!C:C,0))))</f>
        <v>KR-48</v>
      </c>
      <c r="U44" s="168"/>
      <c r="V44" s="169">
        <f>IF(C44="",NA(),MATCH($B44&amp;$C44,'Smelter Look-up'!$J:$J,0))</f>
        <v>19</v>
      </c>
      <c r="X44" s="170">
        <f t="shared" si="4"/>
        <v>0</v>
      </c>
      <c r="AB44" s="314" t="str">
        <f t="shared" si="5"/>
        <v>Cobalt</v>
      </c>
    </row>
    <row r="45" spans="1:28" s="170" customFormat="1" ht="50.4">
      <c r="A45" s="155" t="s">
        <v>244</v>
      </c>
      <c r="B45" s="304" t="s">
        <v>40</v>
      </c>
      <c r="C45" s="152" t="s">
        <v>243</v>
      </c>
      <c r="D45" s="149"/>
      <c r="E45" s="149" t="s">
        <v>65</v>
      </c>
      <c r="F45" s="149" t="s">
        <v>244</v>
      </c>
      <c r="G45" s="149" t="s">
        <v>12</v>
      </c>
      <c r="H45" s="206">
        <v>0</v>
      </c>
      <c r="I45" s="207" t="s">
        <v>242</v>
      </c>
      <c r="J45" s="207" t="s">
        <v>205</v>
      </c>
      <c r="K45" s="150"/>
      <c r="L45" s="150"/>
      <c r="M45" s="150" t="s">
        <v>20062</v>
      </c>
      <c r="N45" s="150">
        <v>0</v>
      </c>
      <c r="O45" s="150">
        <v>0</v>
      </c>
      <c r="P45" s="209"/>
      <c r="Q45" s="151" t="s">
        <v>20068</v>
      </c>
      <c r="R45" s="149" t="str">
        <f ca="1">IF(ISERROR($V45),"",OFFSET('Smelter Look-up'!$C$4,$V45-4,0)&amp;"")</f>
        <v>Ningbo Yanmen Chemical Co., Ltd.</v>
      </c>
      <c r="S45" s="155" t="str">
        <f t="shared" ca="1" si="3"/>
        <v>CN</v>
      </c>
      <c r="T45" s="155" t="str">
        <f ca="1">IF(B45="","",IF(ISERROR(MATCH($J45,SorP!$B$1:$B$6226,0)),"",INDIRECT("'SorP'!$A$"&amp;MATCH($S45&amp;$J45,SorP!C:C,0))))</f>
        <v>CN-ZJ</v>
      </c>
      <c r="U45" s="168"/>
      <c r="V45" s="169">
        <f>IF(C45="",NA(),MATCH($B45&amp;$C45,'Smelter Look-up'!$J:$J,0))</f>
        <v>123</v>
      </c>
      <c r="X45" s="170">
        <f t="shared" si="4"/>
        <v>0</v>
      </c>
      <c r="AB45" s="314" t="str">
        <f t="shared" si="5"/>
        <v>Cobalt</v>
      </c>
    </row>
    <row r="46" spans="1:28" s="170" customFormat="1" ht="25.2">
      <c r="A46" s="155" t="s">
        <v>20074</v>
      </c>
      <c r="B46" s="304" t="s">
        <v>40</v>
      </c>
      <c r="C46" s="152" t="s">
        <v>20075</v>
      </c>
      <c r="D46" s="149"/>
      <c r="E46" s="149" t="s">
        <v>60</v>
      </c>
      <c r="F46" s="149" t="s">
        <v>20074</v>
      </c>
      <c r="G46" s="149" t="s">
        <v>12</v>
      </c>
      <c r="H46" s="206">
        <v>0</v>
      </c>
      <c r="I46" s="207" t="s">
        <v>62</v>
      </c>
      <c r="J46" s="207" t="s">
        <v>63</v>
      </c>
      <c r="K46" s="150"/>
      <c r="L46" s="150"/>
      <c r="M46" s="150">
        <v>0</v>
      </c>
      <c r="N46" s="150">
        <v>0</v>
      </c>
      <c r="O46" s="150">
        <v>0</v>
      </c>
      <c r="P46" s="209"/>
      <c r="Q46" s="151" t="s">
        <v>20065</v>
      </c>
      <c r="R46" s="149" t="str">
        <f ca="1">IF(ISERROR($V46),"",OFFSET('Smelter Look-up'!$C$4,$V46-4,0)&amp;"")</f>
        <v/>
      </c>
      <c r="S46" s="155" t="str">
        <f t="shared" ca="1" si="3"/>
        <v>CD</v>
      </c>
      <c r="T46" s="155" t="str">
        <f ca="1">IF(B46="","",IF(ISERROR(MATCH($J46,SorP!$B$1:$B$6226,0)),"",INDIRECT("'SorP'!$A$"&amp;MATCH($S46&amp;$J46,SorP!C:C,0))))</f>
        <v>CD-HK</v>
      </c>
      <c r="U46" s="168"/>
      <c r="V46" s="169" t="e">
        <f>IF(C46="",NA(),MATCH($B46&amp;$C46,'Smelter Look-up'!$J:$J,0))</f>
        <v>#N/A</v>
      </c>
      <c r="X46" s="170">
        <f t="shared" si="4"/>
        <v>0</v>
      </c>
      <c r="AB46" s="314" t="str">
        <f t="shared" si="5"/>
        <v>Cobalt</v>
      </c>
    </row>
    <row r="47" spans="1:28" s="170" customFormat="1" ht="25.2">
      <c r="A47" s="155" t="s">
        <v>274</v>
      </c>
      <c r="B47" s="304" t="s">
        <v>40</v>
      </c>
      <c r="C47" s="152" t="s">
        <v>12060</v>
      </c>
      <c r="D47" s="149"/>
      <c r="E47" s="149" t="s">
        <v>60</v>
      </c>
      <c r="F47" s="149" t="s">
        <v>274</v>
      </c>
      <c r="G47" s="149" t="s">
        <v>12</v>
      </c>
      <c r="H47" s="206">
        <v>0</v>
      </c>
      <c r="I47" s="207" t="s">
        <v>179</v>
      </c>
      <c r="J47" s="207" t="s">
        <v>180</v>
      </c>
      <c r="K47" s="150"/>
      <c r="L47" s="150"/>
      <c r="M47" s="150">
        <v>0</v>
      </c>
      <c r="N47" s="150">
        <v>0</v>
      </c>
      <c r="O47" s="150">
        <v>0</v>
      </c>
      <c r="P47" s="209"/>
      <c r="Q47" s="151" t="s">
        <v>20065</v>
      </c>
      <c r="R47" s="149" t="str">
        <f ca="1">IF(ISERROR($V47),"",OFFSET('Smelter Look-up'!$C$4,$V47-4,0)&amp;"")</f>
        <v>Tenke Fungurume Mining SA</v>
      </c>
      <c r="S47" s="155" t="str">
        <f t="shared" ca="1" si="3"/>
        <v>CD</v>
      </c>
      <c r="T47" s="155" t="str">
        <f ca="1">IF(B47="","",IF(ISERROR(MATCH($J47,SorP!$B$1:$B$6226,0)),"",INDIRECT("'SorP'!$A$"&amp;MATCH($S47&amp;$J47,SorP!C:C,0))))</f>
        <v>CD-LU</v>
      </c>
      <c r="U47" s="168"/>
      <c r="V47" s="169">
        <f>IF(C47="",NA(),MATCH($B47&amp;$C47,'Smelter Look-up'!$J:$J,0))</f>
        <v>149</v>
      </c>
      <c r="X47" s="170">
        <f t="shared" si="4"/>
        <v>0</v>
      </c>
      <c r="AB47" s="314" t="str">
        <f t="shared" si="5"/>
        <v>Cobalt</v>
      </c>
    </row>
    <row r="48" spans="1:28" s="170" customFormat="1" ht="50.4">
      <c r="A48" s="155" t="s">
        <v>20076</v>
      </c>
      <c r="B48" s="304" t="s">
        <v>40</v>
      </c>
      <c r="C48" s="152" t="s">
        <v>167</v>
      </c>
      <c r="D48" s="149"/>
      <c r="E48" s="149" t="s">
        <v>65</v>
      </c>
      <c r="F48" s="149" t="s">
        <v>20076</v>
      </c>
      <c r="G48" s="149" t="s">
        <v>12</v>
      </c>
      <c r="H48" s="206">
        <v>0</v>
      </c>
      <c r="I48" s="207" t="s">
        <v>20077</v>
      </c>
      <c r="J48" s="207" t="s">
        <v>106</v>
      </c>
      <c r="K48" s="150"/>
      <c r="L48" s="150"/>
      <c r="M48" s="150" t="s">
        <v>20062</v>
      </c>
      <c r="N48" s="150">
        <v>0</v>
      </c>
      <c r="O48" s="150">
        <v>0</v>
      </c>
      <c r="P48" s="209"/>
      <c r="Q48" s="151" t="s">
        <v>20068</v>
      </c>
      <c r="R48" s="149" t="str">
        <f ca="1">IF(ISERROR($V48),"",OFFSET('Smelter Look-up'!$C$4,$V48-4,0)&amp;"")</f>
        <v>Jiangxi Ruida New Energy Technology Co., Ltd.</v>
      </c>
      <c r="S48" s="155" t="str">
        <f t="shared" ca="1" si="3"/>
        <v>CN</v>
      </c>
      <c r="T48" s="155" t="str">
        <f ca="1">IF(B48="","",IF(ISERROR(MATCH($J48,SorP!$B$1:$B$6226,0)),"",INDIRECT("'SorP'!$A$"&amp;MATCH($S48&amp;$J48,SorP!C:C,0))))</f>
        <v>CN-JX</v>
      </c>
      <c r="U48" s="168"/>
      <c r="V48" s="169">
        <f>IF(C48="",NA(),MATCH($B48&amp;$C48,'Smelter Look-up'!$J:$J,0))</f>
        <v>71</v>
      </c>
      <c r="X48" s="170">
        <f t="shared" si="4"/>
        <v>0</v>
      </c>
      <c r="AB48" s="314" t="str">
        <f t="shared" si="5"/>
        <v>Cobalt</v>
      </c>
    </row>
    <row r="49" spans="1:28" s="170" customFormat="1" ht="20.399999999999999">
      <c r="A49" s="155" t="s">
        <v>20078</v>
      </c>
      <c r="B49" s="304" t="s">
        <v>40</v>
      </c>
      <c r="C49" s="152" t="s">
        <v>20079</v>
      </c>
      <c r="D49" s="149"/>
      <c r="E49" s="149" t="s">
        <v>65</v>
      </c>
      <c r="F49" s="149" t="s">
        <v>20078</v>
      </c>
      <c r="G49" s="149" t="s">
        <v>12</v>
      </c>
      <c r="H49" s="206">
        <v>0</v>
      </c>
      <c r="I49" s="207" t="s">
        <v>242</v>
      </c>
      <c r="J49" s="207" t="s">
        <v>205</v>
      </c>
      <c r="K49" s="150"/>
      <c r="L49" s="150"/>
      <c r="M49" s="150">
        <v>0</v>
      </c>
      <c r="N49" s="150">
        <v>0</v>
      </c>
      <c r="O49" s="150">
        <v>0</v>
      </c>
      <c r="P49" s="209"/>
      <c r="Q49" s="151" t="s">
        <v>20059</v>
      </c>
      <c r="R49" s="149" t="str">
        <f ca="1">IF(ISERROR($V49),"",OFFSET('Smelter Look-up'!$C$4,$V49-4,0)&amp;"")</f>
        <v/>
      </c>
      <c r="S49" s="155" t="str">
        <f t="shared" ca="1" si="3"/>
        <v>CN</v>
      </c>
      <c r="T49" s="155" t="str">
        <f ca="1">IF(B49="","",IF(ISERROR(MATCH($J49,SorP!$B$1:$B$6226,0)),"",INDIRECT("'SorP'!$A$"&amp;MATCH($S49&amp;$J49,SorP!C:C,0))))</f>
        <v>CN-ZJ</v>
      </c>
      <c r="U49" s="168"/>
      <c r="V49" s="169" t="e">
        <f>IF(C49="",NA(),MATCH($B49&amp;$C49,'Smelter Look-up'!$J:$J,0))</f>
        <v>#N/A</v>
      </c>
      <c r="X49" s="170">
        <f t="shared" si="4"/>
        <v>0</v>
      </c>
      <c r="AB49" s="314" t="str">
        <f t="shared" si="5"/>
        <v>Cobalt</v>
      </c>
    </row>
    <row r="50" spans="1:28" s="170" customFormat="1" ht="50.4">
      <c r="A50" s="155" t="s">
        <v>292</v>
      </c>
      <c r="B50" s="304" t="s">
        <v>40</v>
      </c>
      <c r="C50" s="152" t="s">
        <v>291</v>
      </c>
      <c r="D50" s="149"/>
      <c r="E50" s="149" t="s">
        <v>65</v>
      </c>
      <c r="F50" s="149" t="s">
        <v>292</v>
      </c>
      <c r="G50" s="149" t="s">
        <v>12</v>
      </c>
      <c r="H50" s="206">
        <v>0</v>
      </c>
      <c r="I50" s="207" t="s">
        <v>293</v>
      </c>
      <c r="J50" s="207" t="s">
        <v>143</v>
      </c>
      <c r="K50" s="150"/>
      <c r="L50" s="150"/>
      <c r="M50" s="150" t="s">
        <v>20062</v>
      </c>
      <c r="N50" s="150">
        <v>0</v>
      </c>
      <c r="O50" s="150">
        <v>0</v>
      </c>
      <c r="P50" s="209"/>
      <c r="Q50" s="151" t="s">
        <v>20068</v>
      </c>
      <c r="R50" s="149" t="str">
        <f ca="1">IF(ISERROR($V50),"",OFFSET('Smelter Look-up'!$C$4,$V50-4,0)&amp;"")</f>
        <v>Xiangtan Huacheng Nickel Cobalt New Material Co., Ltd.</v>
      </c>
      <c r="S50" s="155" t="str">
        <f t="shared" ca="1" si="3"/>
        <v>CN</v>
      </c>
      <c r="T50" s="155" t="str">
        <f ca="1">IF(B50="","",IF(ISERROR(MATCH($J50,SorP!$B$1:$B$6226,0)),"",INDIRECT("'SorP'!$A$"&amp;MATCH($S50&amp;$J50,SorP!C:C,0))))</f>
        <v>CN-HN</v>
      </c>
      <c r="U50" s="168"/>
      <c r="V50" s="169">
        <f>IF(C50="",NA(),MATCH($B50&amp;$C50,'Smelter Look-up'!$J:$J,0))</f>
        <v>162</v>
      </c>
      <c r="X50" s="170">
        <f t="shared" si="4"/>
        <v>0</v>
      </c>
      <c r="AB50" s="314" t="str">
        <f t="shared" si="5"/>
        <v>Cobalt</v>
      </c>
    </row>
    <row r="51" spans="1:28" s="170" customFormat="1" ht="50.4">
      <c r="A51" s="155" t="s">
        <v>91</v>
      </c>
      <c r="B51" s="304" t="s">
        <v>40</v>
      </c>
      <c r="C51" s="152" t="s">
        <v>90</v>
      </c>
      <c r="D51" s="149"/>
      <c r="E51" s="149" t="s">
        <v>65</v>
      </c>
      <c r="F51" s="149" t="s">
        <v>91</v>
      </c>
      <c r="G51" s="149" t="s">
        <v>12</v>
      </c>
      <c r="H51" s="206">
        <v>0</v>
      </c>
      <c r="I51" s="207" t="s">
        <v>92</v>
      </c>
      <c r="J51" s="207" t="s">
        <v>93</v>
      </c>
      <c r="K51" s="150"/>
      <c r="L51" s="150"/>
      <c r="M51" s="150" t="s">
        <v>20062</v>
      </c>
      <c r="N51" s="150">
        <v>0</v>
      </c>
      <c r="O51" s="150">
        <v>0</v>
      </c>
      <c r="P51" s="209"/>
      <c r="Q51" s="151" t="s">
        <v>20068</v>
      </c>
      <c r="R51" s="149" t="str">
        <f ca="1">IF(ISERROR($V51),"",OFFSET('Smelter Look-up'!$C$4,$V51-4,0)&amp;"")</f>
        <v>Fairsky Industrial Co., Limited</v>
      </c>
      <c r="S51" s="155" t="str">
        <f t="shared" ca="1" si="3"/>
        <v>CN</v>
      </c>
      <c r="T51" s="155" t="str">
        <f ca="1">IF(B51="","",IF(ISERROR(MATCH($J51,SorP!$B$1:$B$6226,0)),"",INDIRECT("'SorP'!$A$"&amp;MATCH($S51&amp;$J51,SorP!C:C,0))))</f>
        <v>CN-HE</v>
      </c>
      <c r="U51" s="168"/>
      <c r="V51" s="169">
        <f>IF(C51="",NA(),MATCH($B51&amp;$C51,'Smelter Look-up'!$J:$J,0))</f>
        <v>27</v>
      </c>
      <c r="X51" s="170">
        <f t="shared" si="4"/>
        <v>0</v>
      </c>
      <c r="AB51" s="314" t="str">
        <f t="shared" si="5"/>
        <v>Cobalt</v>
      </c>
    </row>
    <row r="52" spans="1:28" s="170" customFormat="1" ht="20.399999999999999">
      <c r="A52" s="155" t="s">
        <v>148</v>
      </c>
      <c r="B52" s="304" t="s">
        <v>40</v>
      </c>
      <c r="C52" s="152" t="s">
        <v>147</v>
      </c>
      <c r="D52" s="149"/>
      <c r="E52" s="149" t="s">
        <v>65</v>
      </c>
      <c r="F52" s="149" t="s">
        <v>148</v>
      </c>
      <c r="G52" s="149" t="s">
        <v>12</v>
      </c>
      <c r="H52" s="206">
        <v>0</v>
      </c>
      <c r="I52" s="207" t="s">
        <v>149</v>
      </c>
      <c r="J52" s="207" t="s">
        <v>143</v>
      </c>
      <c r="K52" s="150"/>
      <c r="L52" s="150"/>
      <c r="M52" s="150">
        <v>0</v>
      </c>
      <c r="N52" s="150">
        <v>0</v>
      </c>
      <c r="O52" s="150">
        <v>0</v>
      </c>
      <c r="P52" s="209"/>
      <c r="Q52" s="151" t="s">
        <v>20065</v>
      </c>
      <c r="R52" s="149" t="str">
        <f ca="1">IF(ISERROR($V52),"",OFFSET('Smelter Look-up'!$C$4,$V52-4,0)&amp;"")</f>
        <v>Hunan Jinxin New Material Holding Co., Ltd.</v>
      </c>
      <c r="S52" s="155" t="str">
        <f t="shared" ca="1" si="3"/>
        <v>CN</v>
      </c>
      <c r="T52" s="155" t="str">
        <f ca="1">IF(B52="","",IF(ISERROR(MATCH($J52,SorP!$B$1:$B$6226,0)),"",INDIRECT("'SorP'!$A$"&amp;MATCH($S52&amp;$J52,SorP!C:C,0))))</f>
        <v>CN-HN</v>
      </c>
      <c r="U52" s="168"/>
      <c r="V52" s="169">
        <f>IF(C52="",NA(),MATCH($B52&amp;$C52,'Smelter Look-up'!$J:$J,0))</f>
        <v>51</v>
      </c>
      <c r="X52" s="170">
        <f t="shared" si="4"/>
        <v>0</v>
      </c>
      <c r="AB52" s="314" t="str">
        <f t="shared" si="5"/>
        <v>Cobalt</v>
      </c>
    </row>
    <row r="53" spans="1:28" s="170" customFormat="1" ht="20.399999999999999">
      <c r="A53" s="155" t="s">
        <v>20080</v>
      </c>
      <c r="B53" s="304" t="s">
        <v>40</v>
      </c>
      <c r="C53" s="152" t="s">
        <v>20081</v>
      </c>
      <c r="D53" s="149"/>
      <c r="E53" s="149" t="s">
        <v>101</v>
      </c>
      <c r="F53" s="149" t="s">
        <v>20080</v>
      </c>
      <c r="G53" s="149" t="s">
        <v>12</v>
      </c>
      <c r="H53" s="206" t="s">
        <v>19143</v>
      </c>
      <c r="I53" s="207" t="s">
        <v>103</v>
      </c>
      <c r="J53" s="207" t="s">
        <v>20082</v>
      </c>
      <c r="K53" s="150"/>
      <c r="L53" s="150"/>
      <c r="M53" s="150">
        <v>0</v>
      </c>
      <c r="N53" s="150">
        <v>0</v>
      </c>
      <c r="O53" s="150">
        <v>0</v>
      </c>
      <c r="P53" s="209"/>
      <c r="Q53" s="151" t="s">
        <v>20059</v>
      </c>
      <c r="R53" s="149" t="str">
        <f ca="1">IF(ISERROR($V53),"",OFFSET('Smelter Look-up'!$C$4,$V53-4,0)&amp;"")</f>
        <v/>
      </c>
      <c r="S53" s="155" t="str">
        <f t="shared" ca="1" si="3"/>
        <v>FI</v>
      </c>
      <c r="T53" s="155" t="str">
        <f ca="1">IF(B53="","",IF(ISERROR(MATCH($J53,SorP!$B$1:$B$6226,0)),"",INDIRECT("'SorP'!$A$"&amp;MATCH($S53&amp;$J53,SorP!C:C,0))))</f>
        <v/>
      </c>
      <c r="U53" s="168"/>
      <c r="V53" s="169" t="e">
        <f>IF(C53="",NA(),MATCH($B53&amp;$C53,'Smelter Look-up'!$J:$J,0))</f>
        <v>#N/A</v>
      </c>
      <c r="X53" s="170">
        <f t="shared" si="4"/>
        <v>0</v>
      </c>
      <c r="AB53" s="314" t="str">
        <f t="shared" si="5"/>
        <v>Cobalt</v>
      </c>
    </row>
    <row r="54" spans="1:28" s="170" customFormat="1" ht="25.2">
      <c r="A54" s="155" t="s">
        <v>77</v>
      </c>
      <c r="B54" s="304" t="s">
        <v>40</v>
      </c>
      <c r="C54" s="152" t="s">
        <v>75</v>
      </c>
      <c r="D54" s="149"/>
      <c r="E54" s="149" t="s">
        <v>76</v>
      </c>
      <c r="F54" s="149" t="s">
        <v>77</v>
      </c>
      <c r="G54" s="149" t="s">
        <v>12</v>
      </c>
      <c r="H54" s="206">
        <v>0</v>
      </c>
      <c r="I54" s="207" t="s">
        <v>78</v>
      </c>
      <c r="J54" s="207" t="s">
        <v>79</v>
      </c>
      <c r="K54" s="150"/>
      <c r="L54" s="150"/>
      <c r="M54" s="150">
        <v>0</v>
      </c>
      <c r="N54" s="150">
        <v>0</v>
      </c>
      <c r="O54" s="150">
        <v>0</v>
      </c>
      <c r="P54" s="209"/>
      <c r="Q54" s="151" t="s">
        <v>20059</v>
      </c>
      <c r="R54" s="149" t="str">
        <f ca="1">IF(ISERROR($V54),"",OFFSET('Smelter Look-up'!$C$4,$V54-4,0)&amp;"")</f>
        <v>Uranus Chemicals</v>
      </c>
      <c r="S54" s="155" t="str">
        <f t="shared" ca="1" si="3"/>
        <v>TW</v>
      </c>
      <c r="T54" s="155" t="str">
        <f ca="1">IF(B54="","",IF(ISERROR(MATCH($J54,SorP!$B$1:$B$6226,0)),"",INDIRECT("'SorP'!$A$"&amp;MATCH($S54&amp;$J54,SorP!C:C,0))))</f>
        <v>TW-MIA</v>
      </c>
      <c r="U54" s="168"/>
      <c r="V54" s="169">
        <f>IF(C54="",NA(),MATCH($B54&amp;$C54,'Smelter Look-up'!$J:$J,0))</f>
        <v>18</v>
      </c>
      <c r="X54" s="170">
        <f t="shared" si="4"/>
        <v>0</v>
      </c>
      <c r="AB54" s="314" t="str">
        <f t="shared" si="5"/>
        <v>Cobalt</v>
      </c>
    </row>
    <row r="55" spans="1:28" s="170" customFormat="1" ht="25.2">
      <c r="A55" s="155" t="s">
        <v>66</v>
      </c>
      <c r="B55" s="304" t="s">
        <v>40</v>
      </c>
      <c r="C55" s="152" t="s">
        <v>64</v>
      </c>
      <c r="D55" s="149"/>
      <c r="E55" s="149" t="s">
        <v>65</v>
      </c>
      <c r="F55" s="149" t="s">
        <v>66</v>
      </c>
      <c r="G55" s="149" t="s">
        <v>12</v>
      </c>
      <c r="H55" s="206">
        <v>0</v>
      </c>
      <c r="I55" s="207" t="s">
        <v>67</v>
      </c>
      <c r="J55" s="207" t="s">
        <v>68</v>
      </c>
      <c r="K55" s="150"/>
      <c r="L55" s="150"/>
      <c r="M55" s="150">
        <v>0</v>
      </c>
      <c r="N55" s="150">
        <v>0</v>
      </c>
      <c r="O55" s="150">
        <v>0</v>
      </c>
      <c r="P55" s="209"/>
      <c r="Q55" s="151" t="s">
        <v>20059</v>
      </c>
      <c r="R55" s="149" t="str">
        <f ca="1">IF(ISERROR($V55),"",OFFSET('Smelter Look-up'!$C$4,$V55-4,0)&amp;"")</f>
        <v>Chizhou CN New Materials and Technology Co., Ltd.</v>
      </c>
      <c r="S55" s="155" t="str">
        <f t="shared" ca="1" si="3"/>
        <v>CN</v>
      </c>
      <c r="T55" s="155" t="str">
        <f ca="1">IF(B55="","",IF(ISERROR(MATCH($J55,SorP!$B$1:$B$6226,0)),"",INDIRECT("'SorP'!$A$"&amp;MATCH($S55&amp;$J55,SorP!C:C,0))))</f>
        <v>CN-AH</v>
      </c>
      <c r="U55" s="168"/>
      <c r="V55" s="169">
        <f>IF(C55="",NA(),MATCH($B55&amp;$C55,'Smelter Look-up'!$J:$J,0))</f>
        <v>8</v>
      </c>
      <c r="X55" s="170">
        <f t="shared" si="4"/>
        <v>0</v>
      </c>
      <c r="AB55" s="314" t="str">
        <f t="shared" si="5"/>
        <v>Cobalt</v>
      </c>
    </row>
    <row r="56" spans="1:28" s="170" customFormat="1" ht="37.799999999999997">
      <c r="A56" s="155" t="s">
        <v>157</v>
      </c>
      <c r="B56" s="304" t="s">
        <v>40</v>
      </c>
      <c r="C56" s="152" t="s">
        <v>155</v>
      </c>
      <c r="D56" s="149"/>
      <c r="E56" s="149" t="s">
        <v>156</v>
      </c>
      <c r="F56" s="149" t="s">
        <v>157</v>
      </c>
      <c r="G56" s="149" t="s">
        <v>12</v>
      </c>
      <c r="H56" s="206">
        <v>0</v>
      </c>
      <c r="I56" s="207" t="s">
        <v>158</v>
      </c>
      <c r="J56" s="207" t="s">
        <v>159</v>
      </c>
      <c r="K56" s="150"/>
      <c r="L56" s="150"/>
      <c r="M56" s="150" t="s">
        <v>20060</v>
      </c>
      <c r="N56" s="150">
        <v>0</v>
      </c>
      <c r="O56" s="150">
        <v>0</v>
      </c>
      <c r="P56" s="209"/>
      <c r="Q56" s="151" t="s">
        <v>20065</v>
      </c>
      <c r="R56" s="149" t="str">
        <f ca="1">IF(ISERROR($V56),"",OFFSET('Smelter Look-up'!$C$4,$V56-4,0)&amp;"")</f>
        <v>ICoNiChem</v>
      </c>
      <c r="S56" s="155" t="str">
        <f t="shared" ca="1" si="3"/>
        <v>GB</v>
      </c>
      <c r="T56" s="155" t="str">
        <f ca="1">IF(B56="","",IF(ISERROR(MATCH($J56,SorP!$B$1:$B$6226,0)),"",INDIRECT("'SorP'!$A$"&amp;MATCH($S56&amp;$J56,SorP!C:C,0))))</f>
        <v>GB-CHW</v>
      </c>
      <c r="U56" s="168"/>
      <c r="V56" s="169">
        <f>IF(C56="",NA(),MATCH($B56&amp;$C56,'Smelter Look-up'!$J:$J,0))</f>
        <v>57</v>
      </c>
      <c r="X56" s="170">
        <f t="shared" si="4"/>
        <v>0</v>
      </c>
      <c r="AB56" s="314" t="str">
        <f t="shared" si="5"/>
        <v>Cobalt</v>
      </c>
    </row>
    <row r="57" spans="1:28" s="170" customFormat="1" ht="20.399999999999999">
      <c r="A57" s="155" t="s">
        <v>358</v>
      </c>
      <c r="B57" s="304" t="s">
        <v>41</v>
      </c>
      <c r="C57" s="152" t="s">
        <v>357</v>
      </c>
      <c r="D57" s="149"/>
      <c r="E57" s="149" t="s">
        <v>133</v>
      </c>
      <c r="F57" s="149" t="s">
        <v>358</v>
      </c>
      <c r="G57" s="149" t="s">
        <v>12</v>
      </c>
      <c r="H57" s="206">
        <v>0</v>
      </c>
      <c r="I57" s="207" t="s">
        <v>359</v>
      </c>
      <c r="J57" s="207" t="s">
        <v>360</v>
      </c>
      <c r="K57" s="150"/>
      <c r="L57" s="150"/>
      <c r="M57" s="150">
        <v>0</v>
      </c>
      <c r="N57" s="150">
        <v>0</v>
      </c>
      <c r="O57" s="150">
        <v>0</v>
      </c>
      <c r="P57" s="209"/>
      <c r="Q57" s="151" t="s">
        <v>20065</v>
      </c>
      <c r="R57" s="149" t="str">
        <f ca="1">IF(ISERROR($V57),"",OFFSET('Smelter Look-up'!$C$4,$V57-4,0)&amp;"")</f>
        <v>Yamaguchi Mica</v>
      </c>
      <c r="S57" s="155" t="str">
        <f t="shared" ca="1" si="3"/>
        <v>JP</v>
      </c>
      <c r="T57" s="155" t="str">
        <f ca="1">IF(B57="","",IF(ISERROR(MATCH($J57,SorP!$B$1:$B$6226,0)),"",INDIRECT("'SorP'!$A$"&amp;MATCH($S57&amp;$J57,SorP!C:C,0))))</f>
        <v>JP-23</v>
      </c>
      <c r="U57" s="168"/>
      <c r="V57" s="169">
        <f>IF(C57="",NA(),MATCH($B57&amp;$C57,'Smelter Look-up'!$J:$J,0))</f>
        <v>374</v>
      </c>
      <c r="X57" s="170">
        <f t="shared" si="4"/>
        <v>0</v>
      </c>
      <c r="AB57" s="314" t="str">
        <f t="shared" si="5"/>
        <v>Mica</v>
      </c>
    </row>
    <row r="58" spans="1:28" s="170" customFormat="1" ht="20.399999999999999">
      <c r="A58" s="155" t="s">
        <v>304</v>
      </c>
      <c r="B58" s="304" t="s">
        <v>40</v>
      </c>
      <c r="C58" s="152" t="s">
        <v>12066</v>
      </c>
      <c r="D58" s="149"/>
      <c r="E58" s="149" t="s">
        <v>65</v>
      </c>
      <c r="F58" s="149" t="s">
        <v>304</v>
      </c>
      <c r="G58" s="149" t="s">
        <v>12</v>
      </c>
      <c r="H58" s="206">
        <v>0</v>
      </c>
      <c r="I58" s="207" t="s">
        <v>204</v>
      </c>
      <c r="J58" s="207" t="s">
        <v>205</v>
      </c>
      <c r="K58" s="150"/>
      <c r="L58" s="150"/>
      <c r="M58" s="150">
        <v>0</v>
      </c>
      <c r="N58" s="150">
        <v>0</v>
      </c>
      <c r="O58" s="150">
        <v>0</v>
      </c>
      <c r="P58" s="209"/>
      <c r="Q58" s="151" t="s">
        <v>20059</v>
      </c>
      <c r="R58" s="149" t="str">
        <f ca="1">IF(ISERROR($V58),"",OFFSET('Smelter Look-up'!$C$4,$V58-4,0)&amp;"")</f>
        <v>Zhejiang Greatpower Cobalt Materials Co., Ltd.</v>
      </c>
      <c r="S58" s="155" t="str">
        <f t="shared" ca="1" si="3"/>
        <v>CN</v>
      </c>
      <c r="T58" s="155" t="str">
        <f ca="1">IF(B58="","",IF(ISERROR(MATCH($J58,SorP!$B$1:$B$6226,0)),"",INDIRECT("'SorP'!$A$"&amp;MATCH($S58&amp;$J58,SorP!C:C,0))))</f>
        <v>CN-ZJ</v>
      </c>
      <c r="U58" s="168"/>
      <c r="V58" s="169">
        <f>IF(C58="",NA(),MATCH($B58&amp;$C58,'Smelter Look-up'!$J:$J,0))</f>
        <v>167</v>
      </c>
      <c r="X58" s="170">
        <f t="shared" si="4"/>
        <v>0</v>
      </c>
      <c r="AB58" s="314" t="str">
        <f t="shared" si="5"/>
        <v>Cobalt</v>
      </c>
    </row>
    <row r="59" spans="1:28" s="170" customFormat="1" ht="50.4">
      <c r="A59" s="155" t="s">
        <v>209</v>
      </c>
      <c r="B59" s="304" t="s">
        <v>40</v>
      </c>
      <c r="C59" s="152" t="s">
        <v>208</v>
      </c>
      <c r="D59" s="149"/>
      <c r="E59" s="149" t="s">
        <v>76</v>
      </c>
      <c r="F59" s="149" t="s">
        <v>209</v>
      </c>
      <c r="G59" s="149" t="s">
        <v>12</v>
      </c>
      <c r="H59" s="206">
        <v>0</v>
      </c>
      <c r="I59" s="207" t="s">
        <v>210</v>
      </c>
      <c r="J59" s="207" t="s">
        <v>210</v>
      </c>
      <c r="K59" s="150"/>
      <c r="L59" s="150"/>
      <c r="M59" s="150" t="s">
        <v>20062</v>
      </c>
      <c r="N59" s="150">
        <v>0</v>
      </c>
      <c r="O59" s="150">
        <v>0</v>
      </c>
      <c r="P59" s="209"/>
      <c r="Q59" s="151" t="s">
        <v>20068</v>
      </c>
      <c r="R59" s="149" t="str">
        <f ca="1">IF(ISERROR($V59),"",OFFSET('Smelter Look-up'!$C$4,$V59-4,0)&amp;"")</f>
        <v>Mechema Taiwan Plant 1</v>
      </c>
      <c r="S59" s="155" t="str">
        <f t="shared" ca="1" si="3"/>
        <v>TW</v>
      </c>
      <c r="T59" s="155" t="str">
        <f ca="1">IF(B59="","",IF(ISERROR(MATCH($J59,SorP!$B$1:$B$6226,0)),"",INDIRECT("'SorP'!$A$"&amp;MATCH($S59&amp;$J59,SorP!C:C,0))))</f>
        <v>TW-TAO</v>
      </c>
      <c r="U59" s="168"/>
      <c r="V59" s="169">
        <f>IF(C59="",NA(),MATCH($B59&amp;$C59,'Smelter Look-up'!$J:$J,0))</f>
        <v>99</v>
      </c>
      <c r="X59" s="170">
        <f t="shared" si="4"/>
        <v>0</v>
      </c>
      <c r="AB59" s="314" t="str">
        <f t="shared" si="5"/>
        <v>Cobalt</v>
      </c>
    </row>
    <row r="60" spans="1:28" s="170" customFormat="1" ht="25.2">
      <c r="A60" s="155" t="s">
        <v>212</v>
      </c>
      <c r="B60" s="304" t="s">
        <v>40</v>
      </c>
      <c r="C60" s="152" t="s">
        <v>211</v>
      </c>
      <c r="D60" s="149"/>
      <c r="E60" s="149" t="s">
        <v>76</v>
      </c>
      <c r="F60" s="149" t="s">
        <v>212</v>
      </c>
      <c r="G60" s="149" t="s">
        <v>12</v>
      </c>
      <c r="H60" s="206">
        <v>0</v>
      </c>
      <c r="I60" s="207" t="s">
        <v>210</v>
      </c>
      <c r="J60" s="207" t="s">
        <v>210</v>
      </c>
      <c r="K60" s="150"/>
      <c r="L60" s="150"/>
      <c r="M60" s="150">
        <v>0</v>
      </c>
      <c r="N60" s="150">
        <v>0</v>
      </c>
      <c r="O60" s="150">
        <v>0</v>
      </c>
      <c r="P60" s="209"/>
      <c r="Q60" s="151" t="s">
        <v>20059</v>
      </c>
      <c r="R60" s="149" t="str">
        <f ca="1">IF(ISERROR($V60),"",OFFSET('Smelter Look-up'!$C$4,$V60-4,0)&amp;"")</f>
        <v>Mechema Taiwan Plant 2</v>
      </c>
      <c r="S60" s="155" t="str">
        <f t="shared" ca="1" si="3"/>
        <v>TW</v>
      </c>
      <c r="T60" s="155" t="str">
        <f ca="1">IF(B60="","",IF(ISERROR(MATCH($J60,SorP!$B$1:$B$6226,0)),"",INDIRECT("'SorP'!$A$"&amp;MATCH($S60&amp;$J60,SorP!C:C,0))))</f>
        <v>TW-TAO</v>
      </c>
      <c r="U60" s="168"/>
      <c r="V60" s="169">
        <f>IF(C60="",NA(),MATCH($B60&amp;$C60,'Smelter Look-up'!$J:$J,0))</f>
        <v>100</v>
      </c>
      <c r="X60" s="170">
        <f t="shared" si="4"/>
        <v>0</v>
      </c>
      <c r="AB60" s="314" t="str">
        <f t="shared" si="5"/>
        <v>Cobalt</v>
      </c>
    </row>
    <row r="61" spans="1:28" s="170" customFormat="1" ht="50.4">
      <c r="A61" s="155" t="s">
        <v>207</v>
      </c>
      <c r="B61" s="304" t="s">
        <v>40</v>
      </c>
      <c r="C61" s="152" t="s">
        <v>206</v>
      </c>
      <c r="D61" s="149"/>
      <c r="E61" s="149" t="s">
        <v>81</v>
      </c>
      <c r="F61" s="149" t="s">
        <v>207</v>
      </c>
      <c r="G61" s="149" t="s">
        <v>12</v>
      </c>
      <c r="H61" s="206">
        <v>0</v>
      </c>
      <c r="I61" s="207" t="s">
        <v>83</v>
      </c>
      <c r="J61" s="207" t="s">
        <v>84</v>
      </c>
      <c r="K61" s="150"/>
      <c r="L61" s="150"/>
      <c r="M61" s="150" t="s">
        <v>20062</v>
      </c>
      <c r="N61" s="150">
        <v>0</v>
      </c>
      <c r="O61" s="150">
        <v>0</v>
      </c>
      <c r="P61" s="209"/>
      <c r="Q61" s="151" t="s">
        <v>20068</v>
      </c>
      <c r="R61" s="149" t="str">
        <f ca="1">IF(ISERROR($V61),"",OFFSET('Smelter Look-up'!$C$4,$V61-4,0)&amp;"")</f>
        <v>Mechema Korea, Co., Ltd.</v>
      </c>
      <c r="S61" s="155" t="str">
        <f t="shared" ca="1" si="3"/>
        <v>KR</v>
      </c>
      <c r="T61" s="155" t="str">
        <f ca="1">IF(B61="","",IF(ISERROR(MATCH($J61,SorP!$B$1:$B$6226,0)),"",INDIRECT("'SorP'!$A$"&amp;MATCH($S61&amp;$J61,SorP!C:C,0))))</f>
        <v>KR-48</v>
      </c>
      <c r="U61" s="168"/>
      <c r="V61" s="169">
        <f>IF(C61="",NA(),MATCH($B61&amp;$C61,'Smelter Look-up'!$J:$J,0))</f>
        <v>98</v>
      </c>
      <c r="X61" s="170">
        <f t="shared" si="4"/>
        <v>0</v>
      </c>
      <c r="AB61" s="314" t="str">
        <f t="shared" si="5"/>
        <v>Cobalt</v>
      </c>
    </row>
    <row r="62" spans="1:28" s="170" customFormat="1" ht="50.4">
      <c r="A62" s="155" t="s">
        <v>203</v>
      </c>
      <c r="B62" s="304" t="s">
        <v>40</v>
      </c>
      <c r="C62" s="152" t="s">
        <v>202</v>
      </c>
      <c r="D62" s="149"/>
      <c r="E62" s="149" t="s">
        <v>65</v>
      </c>
      <c r="F62" s="149" t="s">
        <v>203</v>
      </c>
      <c r="G62" s="149" t="s">
        <v>12</v>
      </c>
      <c r="H62" s="206">
        <v>0</v>
      </c>
      <c r="I62" s="207" t="s">
        <v>204</v>
      </c>
      <c r="J62" s="207" t="s">
        <v>205</v>
      </c>
      <c r="K62" s="150"/>
      <c r="L62" s="150"/>
      <c r="M62" s="150" t="s">
        <v>20062</v>
      </c>
      <c r="N62" s="150">
        <v>0</v>
      </c>
      <c r="O62" s="150">
        <v>0</v>
      </c>
      <c r="P62" s="209"/>
      <c r="Q62" s="151" t="s">
        <v>20068</v>
      </c>
      <c r="R62" s="149" t="str">
        <f ca="1">IF(ISERROR($V62),"",OFFSET('Smelter Look-up'!$C$4,$V62-4,0)&amp;"")</f>
        <v>Mechema Chemicals shang-yu</v>
      </c>
      <c r="S62" s="155" t="str">
        <f t="shared" ca="1" si="3"/>
        <v>CN</v>
      </c>
      <c r="T62" s="155" t="str">
        <f ca="1">IF(B62="","",IF(ISERROR(MATCH($J62,SorP!$B$1:$B$6226,0)),"",INDIRECT("'SorP'!$A$"&amp;MATCH($S62&amp;$J62,SorP!C:C,0))))</f>
        <v>CN-ZJ</v>
      </c>
      <c r="U62" s="168"/>
      <c r="V62" s="169">
        <f>IF(C62="",NA(),MATCH($B62&amp;$C62,'Smelter Look-up'!$J:$J,0))</f>
        <v>97</v>
      </c>
      <c r="X62" s="170">
        <f t="shared" si="4"/>
        <v>0</v>
      </c>
      <c r="AB62" s="314" t="str">
        <f t="shared" si="5"/>
        <v>Cobalt</v>
      </c>
    </row>
    <row r="63" spans="1:28" s="170" customFormat="1" ht="50.4">
      <c r="A63" s="155" t="s">
        <v>200</v>
      </c>
      <c r="B63" s="304" t="s">
        <v>40</v>
      </c>
      <c r="C63" s="152" t="s">
        <v>198</v>
      </c>
      <c r="D63" s="149"/>
      <c r="E63" s="149" t="s">
        <v>199</v>
      </c>
      <c r="F63" s="149" t="s">
        <v>200</v>
      </c>
      <c r="G63" s="149" t="s">
        <v>12</v>
      </c>
      <c r="H63" s="206">
        <v>0</v>
      </c>
      <c r="I63" s="207" t="s">
        <v>201</v>
      </c>
      <c r="J63" s="207" t="s">
        <v>201</v>
      </c>
      <c r="K63" s="150"/>
      <c r="L63" s="150"/>
      <c r="M63" s="150" t="s">
        <v>20062</v>
      </c>
      <c r="N63" s="150">
        <v>0</v>
      </c>
      <c r="O63" s="150">
        <v>0</v>
      </c>
      <c r="P63" s="209"/>
      <c r="Q63" s="151" t="s">
        <v>20068</v>
      </c>
      <c r="R63" s="149" t="str">
        <f ca="1">IF(ISERROR($V63),"",OFFSET('Smelter Look-up'!$C$4,$V63-4,0)&amp;"")</f>
        <v>Mechema Chemicals (Thailand) Co., Ltd.</v>
      </c>
      <c r="S63" s="155" t="str">
        <f t="shared" ca="1" si="3"/>
        <v>TH</v>
      </c>
      <c r="T63" s="155" t="str">
        <f ca="1">IF(B63="","",IF(ISERROR(MATCH($J63,SorP!$B$1:$B$6226,0)),"",INDIRECT("'SorP'!$A$"&amp;MATCH($S63&amp;$J63,SorP!C:C,0))))</f>
        <v>TH-21</v>
      </c>
      <c r="U63" s="168"/>
      <c r="V63" s="169">
        <f>IF(C63="",NA(),MATCH($B63&amp;$C63,'Smelter Look-up'!$J:$J,0))</f>
        <v>96</v>
      </c>
      <c r="X63" s="170">
        <f t="shared" ref="X63:X126" si="6">IF(AND(C63="Smelter not listed",OR(LEN(D63)=0,LEN(E63)=0)),1,0)</f>
        <v>0</v>
      </c>
      <c r="AB63" s="314" t="str">
        <f t="shared" si="5"/>
        <v>Cobalt</v>
      </c>
    </row>
    <row r="64" spans="1:28" s="170" customFormat="1" ht="50.4">
      <c r="A64" s="155" t="s">
        <v>254</v>
      </c>
      <c r="B64" s="304" t="s">
        <v>40</v>
      </c>
      <c r="C64" s="152" t="s">
        <v>252</v>
      </c>
      <c r="D64" s="149"/>
      <c r="E64" s="149" t="s">
        <v>253</v>
      </c>
      <c r="F64" s="149" t="s">
        <v>254</v>
      </c>
      <c r="G64" s="149" t="s">
        <v>12</v>
      </c>
      <c r="H64" s="206">
        <v>0</v>
      </c>
      <c r="I64" s="207" t="s">
        <v>255</v>
      </c>
      <c r="J64" s="207" t="s">
        <v>256</v>
      </c>
      <c r="K64" s="150"/>
      <c r="L64" s="150"/>
      <c r="M64" s="150" t="s">
        <v>20062</v>
      </c>
      <c r="N64" s="150">
        <v>0</v>
      </c>
      <c r="O64" s="150">
        <v>0</v>
      </c>
      <c r="P64" s="209"/>
      <c r="Q64" s="151" t="s">
        <v>20068</v>
      </c>
      <c r="R64" s="149" t="str">
        <f ca="1">IF(ISERROR($V64),"",OFFSET('Smelter Look-up'!$C$4,$V64-4,0)&amp;"")</f>
        <v>PT Mechema Indonesia</v>
      </c>
      <c r="S64" s="155" t="str">
        <f t="shared" ref="S64:S127" ca="1" si="7">IF(B64="","",IF(ISERROR(MATCH($E64,CL,0)),"Unknown",INDIRECT("'C'!$A$"&amp;MATCH($E64,CL,0)+1)))</f>
        <v>ID</v>
      </c>
      <c r="T64" s="155" t="str">
        <f ca="1">IF(B64="","",IF(ISERROR(MATCH($J64,SorP!$B$1:$B$6226,0)),"",INDIRECT("'SorP'!$A$"&amp;MATCH($S64&amp;$J64,SorP!C:C,0))))</f>
        <v>ID-JB</v>
      </c>
      <c r="U64" s="168"/>
      <c r="V64" s="169">
        <f>IF(C64="",NA(),MATCH($B64&amp;$C64,'Smelter Look-up'!$J:$J,0))</f>
        <v>130</v>
      </c>
      <c r="X64" s="170">
        <f t="shared" si="6"/>
        <v>0</v>
      </c>
      <c r="AB64" s="314" t="str">
        <f t="shared" si="5"/>
        <v>Cobalt</v>
      </c>
    </row>
    <row r="65" spans="1:28" s="170" customFormat="1" ht="20.399999999999999">
      <c r="A65" s="155" t="s">
        <v>138</v>
      </c>
      <c r="B65" s="304" t="s">
        <v>40</v>
      </c>
      <c r="C65" s="152" t="s">
        <v>137</v>
      </c>
      <c r="D65" s="149"/>
      <c r="E65" s="149" t="s">
        <v>65</v>
      </c>
      <c r="F65" s="149" t="s">
        <v>138</v>
      </c>
      <c r="G65" s="149" t="s">
        <v>12</v>
      </c>
      <c r="H65" s="206">
        <v>0</v>
      </c>
      <c r="I65" s="207" t="s">
        <v>139</v>
      </c>
      <c r="J65" s="207" t="s">
        <v>68</v>
      </c>
      <c r="K65" s="150"/>
      <c r="L65" s="150"/>
      <c r="M65" s="150" t="s">
        <v>20060</v>
      </c>
      <c r="N65" s="150">
        <v>0</v>
      </c>
      <c r="O65" s="150">
        <v>0</v>
      </c>
      <c r="P65" s="209"/>
      <c r="Q65" s="151" t="s">
        <v>20061</v>
      </c>
      <c r="R65" s="149" t="str">
        <f ca="1">IF(ISERROR($V65),"",OFFSET('Smelter Look-up'!$C$4,$V65-4,0)&amp;"")</f>
        <v>Hefei Rongjie Metal Technology Co., Ltd.</v>
      </c>
      <c r="S65" s="155" t="str">
        <f t="shared" ca="1" si="7"/>
        <v>CN</v>
      </c>
      <c r="T65" s="155" t="str">
        <f ca="1">IF(B65="","",IF(ISERROR(MATCH($J65,SorP!$B$1:$B$6226,0)),"",INDIRECT("'SorP'!$A$"&amp;MATCH($S65&amp;$J65,SorP!C:C,0))))</f>
        <v>CN-AH</v>
      </c>
      <c r="U65" s="168"/>
      <c r="V65" s="169">
        <f>IF(C65="",NA(),MATCH($B65&amp;$C65,'Smelter Look-up'!$J:$J,0))</f>
        <v>47</v>
      </c>
      <c r="X65" s="170">
        <f t="shared" si="6"/>
        <v>0</v>
      </c>
      <c r="AB65" s="314" t="str">
        <f t="shared" si="5"/>
        <v>Cobalt</v>
      </c>
    </row>
    <row r="66" spans="1:28" s="170" customFormat="1" ht="20.399999999999999">
      <c r="A66" s="155" t="s">
        <v>134</v>
      </c>
      <c r="B66" s="304" t="s">
        <v>40</v>
      </c>
      <c r="C66" s="152" t="s">
        <v>132</v>
      </c>
      <c r="D66" s="149"/>
      <c r="E66" s="149" t="s">
        <v>133</v>
      </c>
      <c r="F66" s="149" t="s">
        <v>134</v>
      </c>
      <c r="G66" s="149" t="s">
        <v>12</v>
      </c>
      <c r="H66" s="206">
        <v>0</v>
      </c>
      <c r="I66" s="207" t="s">
        <v>135</v>
      </c>
      <c r="J66" s="207" t="s">
        <v>136</v>
      </c>
      <c r="K66" s="150"/>
      <c r="L66" s="150"/>
      <c r="M66" s="150">
        <v>0</v>
      </c>
      <c r="N66" s="150">
        <v>0</v>
      </c>
      <c r="O66" s="150">
        <v>0</v>
      </c>
      <c r="P66" s="209"/>
      <c r="Q66" s="151" t="s">
        <v>20059</v>
      </c>
      <c r="R66" s="149" t="str">
        <f ca="1">IF(ISERROR($V66),"",OFFSET('Smelter Look-up'!$C$4,$V66-4,0)&amp;"")</f>
        <v>Harima Refinery, Sumitomo Metal Mining</v>
      </c>
      <c r="S66" s="155" t="str">
        <f t="shared" ca="1" si="7"/>
        <v>JP</v>
      </c>
      <c r="T66" s="155" t="str">
        <f ca="1">IF(B66="","",IF(ISERROR(MATCH($J66,SorP!$B$1:$B$6226,0)),"",INDIRECT("'SorP'!$A$"&amp;MATCH($S66&amp;$J66,SorP!C:C,0))))</f>
        <v>JP-28</v>
      </c>
      <c r="U66" s="168"/>
      <c r="V66" s="169">
        <f>IF(C66="",NA(),MATCH($B66&amp;$C66,'Smelter Look-up'!$J:$J,0))</f>
        <v>46</v>
      </c>
      <c r="X66" s="170">
        <f t="shared" si="6"/>
        <v>0</v>
      </c>
      <c r="AB66" s="314" t="str">
        <f t="shared" si="5"/>
        <v>Cobalt</v>
      </c>
    </row>
    <row r="67" spans="1:28" s="170" customFormat="1" ht="50.4">
      <c r="A67" s="155" t="s">
        <v>282</v>
      </c>
      <c r="B67" s="304" t="s">
        <v>40</v>
      </c>
      <c r="C67" s="152" t="s">
        <v>281</v>
      </c>
      <c r="D67" s="149"/>
      <c r="E67" s="149" t="s">
        <v>95</v>
      </c>
      <c r="F67" s="149" t="s">
        <v>282</v>
      </c>
      <c r="G67" s="149" t="s">
        <v>12</v>
      </c>
      <c r="H67" s="206">
        <v>0</v>
      </c>
      <c r="I67" s="207" t="s">
        <v>283</v>
      </c>
      <c r="J67" s="207" t="s">
        <v>284</v>
      </c>
      <c r="K67" s="150"/>
      <c r="L67" s="150"/>
      <c r="M67" s="150" t="s">
        <v>20062</v>
      </c>
      <c r="N67" s="150">
        <v>0</v>
      </c>
      <c r="O67" s="150">
        <v>0</v>
      </c>
      <c r="P67" s="209"/>
      <c r="Q67" s="151" t="s">
        <v>20083</v>
      </c>
      <c r="R67" s="149" t="str">
        <f ca="1">IF(ISERROR($V67),"",OFFSET('Smelter Look-up'!$C$4,$V67-4,0)&amp;"")</f>
        <v>Vale - Long Harbour Processing Plant (LHPP)</v>
      </c>
      <c r="S67" s="155" t="str">
        <f t="shared" ca="1" si="7"/>
        <v>CA</v>
      </c>
      <c r="T67" s="155" t="str">
        <f ca="1">IF(B67="","",IF(ISERROR(MATCH($J67,SorP!$B$1:$B$6226,0)),"",INDIRECT("'SorP'!$A$"&amp;MATCH($S67&amp;$J67,SorP!C:C,0))))</f>
        <v>CA-NL</v>
      </c>
      <c r="U67" s="168"/>
      <c r="V67" s="169">
        <f>IF(C67="",NA(),MATCH($B67&amp;$C67,'Smelter Look-up'!$J:$J,0))</f>
        <v>156</v>
      </c>
      <c r="X67" s="170">
        <f t="shared" si="6"/>
        <v>0</v>
      </c>
      <c r="AB67" s="314" t="str">
        <f t="shared" si="5"/>
        <v>Cobalt</v>
      </c>
    </row>
    <row r="68" spans="1:28" s="170" customFormat="1" ht="25.2">
      <c r="A68" s="155" t="s">
        <v>128</v>
      </c>
      <c r="B68" s="304" t="s">
        <v>40</v>
      </c>
      <c r="C68" s="152" t="s">
        <v>127</v>
      </c>
      <c r="D68" s="149"/>
      <c r="E68" s="149" t="s">
        <v>65</v>
      </c>
      <c r="F68" s="149" t="s">
        <v>128</v>
      </c>
      <c r="G68" s="149" t="s">
        <v>12</v>
      </c>
      <c r="H68" s="206">
        <v>0</v>
      </c>
      <c r="I68" s="207" t="s">
        <v>129</v>
      </c>
      <c r="J68" s="207" t="s">
        <v>130</v>
      </c>
      <c r="K68" s="150"/>
      <c r="L68" s="150"/>
      <c r="M68" s="150">
        <v>0</v>
      </c>
      <c r="N68" s="150">
        <v>0</v>
      </c>
      <c r="O68" s="150">
        <v>0</v>
      </c>
      <c r="P68" s="209"/>
      <c r="Q68" s="151" t="s">
        <v>20059</v>
      </c>
      <c r="R68" s="149" t="str">
        <f ca="1">IF(ISERROR($V68),"",OFFSET('Smelter Look-up'!$C$4,$V68-4,0)&amp;"")</f>
        <v>Guizhou CNGR Resource Recycling Industry Development Co., Ltd.</v>
      </c>
      <c r="S68" s="155" t="str">
        <f t="shared" ca="1" si="7"/>
        <v>CN</v>
      </c>
      <c r="T68" s="155" t="str">
        <f ca="1">IF(B68="","",IF(ISERROR(MATCH($J68,SorP!$B$1:$B$6226,0)),"",INDIRECT("'SorP'!$A$"&amp;MATCH($S68&amp;$J68,SorP!C:C,0))))</f>
        <v>CN-GZ</v>
      </c>
      <c r="U68" s="168"/>
      <c r="V68" s="169">
        <f>IF(C68="",NA(),MATCH($B68&amp;$C68,'Smelter Look-up'!$J:$J,0))</f>
        <v>43</v>
      </c>
      <c r="X68" s="170">
        <f t="shared" si="6"/>
        <v>0</v>
      </c>
      <c r="AB68" s="314" t="str">
        <f t="shared" si="5"/>
        <v>Cobalt</v>
      </c>
    </row>
    <row r="69" spans="1:28" s="170" customFormat="1" ht="20.399999999999999">
      <c r="A69" s="155" t="s">
        <v>319</v>
      </c>
      <c r="B69" s="304" t="s">
        <v>41</v>
      </c>
      <c r="C69" s="152" t="s">
        <v>318</v>
      </c>
      <c r="D69" s="149"/>
      <c r="E69" s="149" t="s">
        <v>315</v>
      </c>
      <c r="F69" s="149" t="s">
        <v>319</v>
      </c>
      <c r="G69" s="149" t="s">
        <v>12</v>
      </c>
      <c r="H69" s="206">
        <v>0</v>
      </c>
      <c r="I69" s="207" t="s">
        <v>320</v>
      </c>
      <c r="J69" s="207" t="s">
        <v>12227</v>
      </c>
      <c r="K69" s="150"/>
      <c r="L69" s="150"/>
      <c r="M69" s="150"/>
      <c r="N69" s="150"/>
      <c r="O69" s="150"/>
      <c r="P69" s="209"/>
      <c r="Q69" s="151" t="s">
        <v>20068</v>
      </c>
      <c r="R69" s="149" t="str">
        <f ca="1">IF(ISERROR($V69),"",OFFSET('Smelter Look-up'!$C$4,$V69-4,0)&amp;"")</f>
        <v>DARUKA MINERALS</v>
      </c>
      <c r="S69" s="155" t="str">
        <f t="shared" ca="1" si="7"/>
        <v>IN</v>
      </c>
      <c r="T69" s="155" t="str">
        <f ca="1">IF(B69="","",IF(ISERROR(MATCH($J69,SorP!$B$1:$B$6226,0)),"",INDIRECT("'SorP'!$A$"&amp;MATCH($S69&amp;$J69,SorP!C:C,0))))</f>
        <v>IN-JH</v>
      </c>
      <c r="U69" s="168"/>
      <c r="V69" s="169">
        <f>IF(C69="",NA(),MATCH($B69&amp;$C69,'Smelter Look-up'!$J:$J,0))</f>
        <v>349</v>
      </c>
      <c r="X69" s="170">
        <f t="shared" si="6"/>
        <v>0</v>
      </c>
      <c r="AB69" s="314" t="str">
        <f t="shared" si="5"/>
        <v>Mica</v>
      </c>
    </row>
    <row r="70" spans="1:28" s="170" customFormat="1" ht="50.4">
      <c r="A70" s="155" t="s">
        <v>290</v>
      </c>
      <c r="B70" s="304" t="s">
        <v>40</v>
      </c>
      <c r="C70" s="152" t="s">
        <v>289</v>
      </c>
      <c r="D70" s="149"/>
      <c r="E70" s="149" t="s">
        <v>65</v>
      </c>
      <c r="F70" s="149" t="s">
        <v>290</v>
      </c>
      <c r="G70" s="149" t="s">
        <v>12</v>
      </c>
      <c r="H70" s="206">
        <v>0</v>
      </c>
      <c r="I70" s="207" t="s">
        <v>92</v>
      </c>
      <c r="J70" s="207" t="s">
        <v>93</v>
      </c>
      <c r="K70" s="150"/>
      <c r="L70" s="150"/>
      <c r="M70" s="150" t="s">
        <v>20062</v>
      </c>
      <c r="N70" s="150">
        <v>0</v>
      </c>
      <c r="O70" s="150">
        <v>0</v>
      </c>
      <c r="P70" s="209"/>
      <c r="Q70" s="151" t="s">
        <v>20068</v>
      </c>
      <c r="R70" s="149" t="str">
        <f ca="1">IF(ISERROR($V70),"",OFFSET('Smelter Look-up'!$C$4,$V70-4,0)&amp;"")</f>
        <v>W&amp;Q Metal Products Co., Limited</v>
      </c>
      <c r="S70" s="155" t="str">
        <f t="shared" ca="1" si="7"/>
        <v>CN</v>
      </c>
      <c r="T70" s="155" t="str">
        <f ca="1">IF(B70="","",IF(ISERROR(MATCH($J70,SorP!$B$1:$B$6226,0)),"",INDIRECT("'SorP'!$A$"&amp;MATCH($S70&amp;$J70,SorP!C:C,0))))</f>
        <v>CN-HE</v>
      </c>
      <c r="U70" s="168"/>
      <c r="V70" s="169">
        <f>IF(C70="",NA(),MATCH($B70&amp;$C70,'Smelter Look-up'!$J:$J,0))</f>
        <v>161</v>
      </c>
      <c r="X70" s="170">
        <f t="shared" si="6"/>
        <v>0</v>
      </c>
      <c r="AB70" s="314" t="str">
        <f t="shared" ref="AB70:AB133" si="8">IF(C70="","",B70)</f>
        <v>Cobalt</v>
      </c>
    </row>
    <row r="71" spans="1:28" s="170" customFormat="1" ht="50.4">
      <c r="A71" s="155" t="s">
        <v>334</v>
      </c>
      <c r="B71" s="304" t="s">
        <v>41</v>
      </c>
      <c r="C71" s="152" t="s">
        <v>333</v>
      </c>
      <c r="D71" s="149"/>
      <c r="E71" s="149" t="s">
        <v>173</v>
      </c>
      <c r="F71" s="149" t="s">
        <v>334</v>
      </c>
      <c r="G71" s="149" t="s">
        <v>12</v>
      </c>
      <c r="H71" s="206">
        <v>0</v>
      </c>
      <c r="I71" s="207" t="s">
        <v>335</v>
      </c>
      <c r="J71" s="207" t="s">
        <v>336</v>
      </c>
      <c r="K71" s="150"/>
      <c r="L71" s="150"/>
      <c r="M71" s="150" t="s">
        <v>20062</v>
      </c>
      <c r="N71" s="150">
        <v>0</v>
      </c>
      <c r="O71" s="150">
        <v>0</v>
      </c>
      <c r="P71" s="209"/>
      <c r="Q71" s="151" t="s">
        <v>20064</v>
      </c>
      <c r="R71" s="149" t="str">
        <f ca="1">IF(ISERROR($V71),"",OFFSET('Smelter Look-up'!$C$4,$V71-4,0)&amp;"")</f>
        <v>JSC “Sludyanaya Fabrika”</v>
      </c>
      <c r="S71" s="155" t="str">
        <f t="shared" ca="1" si="7"/>
        <v>RU</v>
      </c>
      <c r="T71" s="155" t="str">
        <f ca="1">IF(B71="","",IF(ISERROR(MATCH($J71,SorP!$B$1:$B$6226,0)),"",INDIRECT("'SorP'!$A$"&amp;MATCH($S71&amp;$J71,SorP!C:C,0))))</f>
        <v>RU-SPE</v>
      </c>
      <c r="U71" s="168"/>
      <c r="V71" s="169">
        <f>IF(C71="",NA(),MATCH($B71&amp;$C71,'Smelter Look-up'!$J:$J,0))</f>
        <v>355</v>
      </c>
      <c r="X71" s="170">
        <f t="shared" si="6"/>
        <v>0</v>
      </c>
      <c r="AB71" s="314" t="str">
        <f t="shared" si="8"/>
        <v>Mica</v>
      </c>
    </row>
    <row r="72" spans="1:28" s="170" customFormat="1" ht="50.4">
      <c r="A72" s="155" t="s">
        <v>288</v>
      </c>
      <c r="B72" s="304" t="s">
        <v>40</v>
      </c>
      <c r="C72" s="152" t="s">
        <v>12064</v>
      </c>
      <c r="D72" s="149"/>
      <c r="E72" s="149" t="s">
        <v>65</v>
      </c>
      <c r="F72" s="149" t="s">
        <v>288</v>
      </c>
      <c r="G72" s="149" t="s">
        <v>12</v>
      </c>
      <c r="H72" s="206">
        <v>0</v>
      </c>
      <c r="I72" s="207" t="s">
        <v>12065</v>
      </c>
      <c r="J72" s="207" t="s">
        <v>122</v>
      </c>
      <c r="K72" s="150"/>
      <c r="L72" s="150"/>
      <c r="M72" s="150" t="s">
        <v>20062</v>
      </c>
      <c r="N72" s="150">
        <v>0</v>
      </c>
      <c r="O72" s="150">
        <v>0</v>
      </c>
      <c r="P72" s="209"/>
      <c r="Q72" s="151" t="s">
        <v>20068</v>
      </c>
      <c r="R72" s="149" t="str">
        <f ca="1">IF(ISERROR($V72),"",OFFSET('Smelter Look-up'!$C$4,$V72-4,0)&amp;"")</f>
        <v>Vital Materials Workshop</v>
      </c>
      <c r="S72" s="155" t="str">
        <f t="shared" ca="1" si="7"/>
        <v>CN</v>
      </c>
      <c r="T72" s="155" t="str">
        <f ca="1">IF(B72="","",IF(ISERROR(MATCH($J72,SorP!$B$1:$B$6226,0)),"",INDIRECT("'SorP'!$A$"&amp;MATCH($S72&amp;$J72,SorP!C:C,0))))</f>
        <v>CN-GD</v>
      </c>
      <c r="U72" s="168"/>
      <c r="V72" s="169">
        <f>IF(C72="",NA(),MATCH($B72&amp;$C72,'Smelter Look-up'!$J:$J,0))</f>
        <v>160</v>
      </c>
      <c r="X72" s="170">
        <f t="shared" si="6"/>
        <v>0</v>
      </c>
      <c r="AB72" s="314" t="str">
        <f t="shared" si="8"/>
        <v>Cobalt</v>
      </c>
    </row>
    <row r="73" spans="1:28" s="170" customFormat="1" ht="20.399999999999999">
      <c r="A73" s="155" t="s">
        <v>12044</v>
      </c>
      <c r="B73" s="304" t="s">
        <v>40</v>
      </c>
      <c r="C73" s="152" t="s">
        <v>12194</v>
      </c>
      <c r="D73" s="149"/>
      <c r="E73" s="149" t="s">
        <v>65</v>
      </c>
      <c r="F73" s="149" t="s">
        <v>12044</v>
      </c>
      <c r="G73" s="149" t="s">
        <v>12</v>
      </c>
      <c r="H73" s="206">
        <v>0</v>
      </c>
      <c r="I73" s="207" t="s">
        <v>12045</v>
      </c>
      <c r="J73" s="207" t="s">
        <v>68</v>
      </c>
      <c r="K73" s="150"/>
      <c r="L73" s="150"/>
      <c r="M73" s="150">
        <v>0</v>
      </c>
      <c r="N73" s="150">
        <v>0</v>
      </c>
      <c r="O73" s="150">
        <v>0</v>
      </c>
      <c r="P73" s="209"/>
      <c r="Q73" s="151" t="s">
        <v>20059</v>
      </c>
      <c r="R73" s="149" t="str">
        <f ca="1">IF(ISERROR($V73),"",OFFSET('Smelter Look-up'!$C$4,$V73-4,0)&amp;"")</f>
        <v>Anhui Hanrui New Material Co., Ltd.</v>
      </c>
      <c r="S73" s="155" t="str">
        <f t="shared" ca="1" si="7"/>
        <v>CN</v>
      </c>
      <c r="T73" s="155" t="str">
        <f ca="1">IF(B73="","",IF(ISERROR(MATCH($J73,SorP!$B$1:$B$6226,0)),"",INDIRECT("'SorP'!$A$"&amp;MATCH($S73&amp;$J73,SorP!C:C,0))))</f>
        <v>CN-AH</v>
      </c>
      <c r="U73" s="168"/>
      <c r="V73" s="169">
        <f>IF(C73="",NA(),MATCH($B73&amp;$C73,'Smelter Look-up'!$J:$J,0))</f>
        <v>5</v>
      </c>
      <c r="X73" s="170">
        <f t="shared" si="6"/>
        <v>0</v>
      </c>
      <c r="AB73" s="314" t="str">
        <f t="shared" si="8"/>
        <v>Cobalt</v>
      </c>
    </row>
    <row r="74" spans="1:28" s="170" customFormat="1" ht="20.399999999999999">
      <c r="A74" s="155" t="s">
        <v>12087</v>
      </c>
      <c r="B74" s="304" t="s">
        <v>41</v>
      </c>
      <c r="C74" s="152" t="s">
        <v>12088</v>
      </c>
      <c r="D74" s="149"/>
      <c r="E74" s="149" t="s">
        <v>133</v>
      </c>
      <c r="F74" s="149" t="s">
        <v>12087</v>
      </c>
      <c r="G74" s="149" t="s">
        <v>12</v>
      </c>
      <c r="H74" s="206">
        <v>0</v>
      </c>
      <c r="I74" s="207" t="s">
        <v>12090</v>
      </c>
      <c r="J74" s="207" t="s">
        <v>360</v>
      </c>
      <c r="K74" s="150"/>
      <c r="L74" s="150"/>
      <c r="M74" s="150">
        <v>0</v>
      </c>
      <c r="N74" s="150">
        <v>0</v>
      </c>
      <c r="O74" s="150">
        <v>0</v>
      </c>
      <c r="P74" s="209"/>
      <c r="Q74" s="151" t="s">
        <v>20065</v>
      </c>
      <c r="R74" s="149" t="str">
        <f ca="1">IF(ISERROR($V74),"",OFFSET('Smelter Look-up'!$C$4,$V74-4,0)&amp;"")</f>
        <v>Yamaguchi Mica Co., Ltd. Toyohashi Factory</v>
      </c>
      <c r="S74" s="155" t="str">
        <f t="shared" ca="1" si="7"/>
        <v>JP</v>
      </c>
      <c r="T74" s="155" t="str">
        <f ca="1">IF(B74="","",IF(ISERROR(MATCH($J74,SorP!$B$1:$B$6226,0)),"",INDIRECT("'SorP'!$A$"&amp;MATCH($S74&amp;$J74,SorP!C:C,0))))</f>
        <v>JP-23</v>
      </c>
      <c r="U74" s="168"/>
      <c r="V74" s="169">
        <f>IF(C74="",NA(),MATCH($B74&amp;$C74,'Smelter Look-up'!$J:$J,0))</f>
        <v>376</v>
      </c>
      <c r="X74" s="170">
        <f t="shared" si="6"/>
        <v>0</v>
      </c>
      <c r="AB74" s="314" t="str">
        <f t="shared" si="8"/>
        <v>Mica</v>
      </c>
    </row>
    <row r="75" spans="1:28" s="170" customFormat="1" ht="20.399999999999999">
      <c r="A75" s="155" t="s">
        <v>12085</v>
      </c>
      <c r="B75" s="304" t="s">
        <v>41</v>
      </c>
      <c r="C75" s="152" t="s">
        <v>12086</v>
      </c>
      <c r="D75" s="149"/>
      <c r="E75" s="149" t="s">
        <v>133</v>
      </c>
      <c r="F75" s="149" t="s">
        <v>12085</v>
      </c>
      <c r="G75" s="149" t="s">
        <v>12</v>
      </c>
      <c r="H75" s="206">
        <v>0</v>
      </c>
      <c r="I75" s="207" t="s">
        <v>12089</v>
      </c>
      <c r="J75" s="207" t="s">
        <v>360</v>
      </c>
      <c r="K75" s="150"/>
      <c r="L75" s="150"/>
      <c r="M75" s="150">
        <v>0</v>
      </c>
      <c r="N75" s="150">
        <v>0</v>
      </c>
      <c r="O75" s="150">
        <v>0</v>
      </c>
      <c r="P75" s="209"/>
      <c r="Q75" s="151" t="s">
        <v>20065</v>
      </c>
      <c r="R75" s="149" t="str">
        <f ca="1">IF(ISERROR($V75),"",OFFSET('Smelter Look-up'!$C$4,$V75-4,0)&amp;"")</f>
        <v>Yamaguchi Mica Co., Ltd. Shinshiro Factory</v>
      </c>
      <c r="S75" s="155" t="str">
        <f t="shared" ca="1" si="7"/>
        <v>JP</v>
      </c>
      <c r="T75" s="155" t="str">
        <f ca="1">IF(B75="","",IF(ISERROR(MATCH($J75,SorP!$B$1:$B$6226,0)),"",INDIRECT("'SorP'!$A$"&amp;MATCH($S75&amp;$J75,SorP!C:C,0))))</f>
        <v>JP-23</v>
      </c>
      <c r="U75" s="168"/>
      <c r="V75" s="169">
        <f>IF(C75="",NA(),MATCH($B75&amp;$C75,'Smelter Look-up'!$J:$J,0))</f>
        <v>375</v>
      </c>
      <c r="X75" s="170">
        <f t="shared" si="6"/>
        <v>0</v>
      </c>
      <c r="AB75" s="314" t="str">
        <f t="shared" si="8"/>
        <v>Mica</v>
      </c>
    </row>
    <row r="76" spans="1:28" s="170" customFormat="1" ht="20.399999999999999">
      <c r="A76" s="155" t="s">
        <v>12073</v>
      </c>
      <c r="B76" s="304" t="s">
        <v>41</v>
      </c>
      <c r="C76" s="152" t="s">
        <v>12074</v>
      </c>
      <c r="D76" s="149"/>
      <c r="E76" s="149" t="s">
        <v>65</v>
      </c>
      <c r="F76" s="149" t="s">
        <v>12073</v>
      </c>
      <c r="G76" s="149" t="s">
        <v>12</v>
      </c>
      <c r="H76" s="206">
        <v>0</v>
      </c>
      <c r="I76" s="207" t="s">
        <v>12075</v>
      </c>
      <c r="J76" s="207" t="s">
        <v>143</v>
      </c>
      <c r="K76" s="150"/>
      <c r="L76" s="150"/>
      <c r="M76" s="150" t="s">
        <v>20060</v>
      </c>
      <c r="N76" s="150">
        <v>0</v>
      </c>
      <c r="O76" s="150">
        <v>0</v>
      </c>
      <c r="P76" s="209"/>
      <c r="Q76" s="151" t="s">
        <v>20061</v>
      </c>
      <c r="R76" s="149" t="str">
        <f ca="1">IF(ISERROR($V76),"",OFFSET('Smelter Look-up'!$C$4,$V76-4,0)&amp;"")</f>
        <v>Hunan Rongtai New Material Co., Ltd.</v>
      </c>
      <c r="S76" s="155" t="str">
        <f t="shared" ca="1" si="7"/>
        <v>CN</v>
      </c>
      <c r="T76" s="155" t="str">
        <f ca="1">IF(B76="","",IF(ISERROR(MATCH($J76,SorP!$B$1:$B$6226,0)),"",INDIRECT("'SorP'!$A$"&amp;MATCH($S76&amp;$J76,SorP!C:C,0))))</f>
        <v>CN-HN</v>
      </c>
      <c r="U76" s="168"/>
      <c r="V76" s="169">
        <f>IF(C76="",NA(),MATCH($B76&amp;$C76,'Smelter Look-up'!$J:$J,0))</f>
        <v>352</v>
      </c>
      <c r="X76" s="170">
        <f t="shared" si="6"/>
        <v>0</v>
      </c>
      <c r="AB76" s="314" t="str">
        <f t="shared" si="8"/>
        <v>Mica</v>
      </c>
    </row>
    <row r="77" spans="1:28" s="170" customFormat="1" ht="20.399999999999999">
      <c r="A77" s="155" t="s">
        <v>12076</v>
      </c>
      <c r="B77" s="304" t="s">
        <v>41</v>
      </c>
      <c r="C77" s="152" t="s">
        <v>12077</v>
      </c>
      <c r="D77" s="149"/>
      <c r="E77" s="149" t="s">
        <v>65</v>
      </c>
      <c r="F77" s="149" t="s">
        <v>12076</v>
      </c>
      <c r="G77" s="149" t="s">
        <v>12</v>
      </c>
      <c r="H77" s="206">
        <v>0</v>
      </c>
      <c r="I77" s="207" t="s">
        <v>12078</v>
      </c>
      <c r="J77" s="207" t="s">
        <v>122</v>
      </c>
      <c r="K77" s="150"/>
      <c r="L77" s="150"/>
      <c r="M77" s="150" t="s">
        <v>20060</v>
      </c>
      <c r="N77" s="150">
        <v>0</v>
      </c>
      <c r="O77" s="150">
        <v>0</v>
      </c>
      <c r="P77" s="209"/>
      <c r="Q77" s="151" t="s">
        <v>20061</v>
      </c>
      <c r="R77" s="149" t="str">
        <f ca="1">IF(ISERROR($V77),"",OFFSET('Smelter Look-up'!$C$4,$V77-4,0)&amp;"")</f>
        <v>Mica Electrical Material (Luhe) Co., Ltd.</v>
      </c>
      <c r="S77" s="155" t="str">
        <f t="shared" ca="1" si="7"/>
        <v>CN</v>
      </c>
      <c r="T77" s="155" t="str">
        <f ca="1">IF(B77="","",IF(ISERROR(MATCH($J77,SorP!$B$1:$B$6226,0)),"",INDIRECT("'SorP'!$A$"&amp;MATCH($S77&amp;$J77,SorP!C:C,0))))</f>
        <v>CN-GD</v>
      </c>
      <c r="U77" s="168"/>
      <c r="V77" s="169">
        <f>IF(C77="",NA(),MATCH($B77&amp;$C77,'Smelter Look-up'!$J:$J,0))</f>
        <v>360</v>
      </c>
      <c r="X77" s="170">
        <f t="shared" si="6"/>
        <v>0</v>
      </c>
      <c r="AB77" s="314" t="str">
        <f t="shared" si="8"/>
        <v>Mica</v>
      </c>
    </row>
    <row r="78" spans="1:28" s="170" customFormat="1" ht="20.399999999999999">
      <c r="A78" s="155" t="s">
        <v>12051</v>
      </c>
      <c r="B78" s="304" t="s">
        <v>40</v>
      </c>
      <c r="C78" s="152" t="s">
        <v>12052</v>
      </c>
      <c r="D78" s="149"/>
      <c r="E78" s="149" t="s">
        <v>65</v>
      </c>
      <c r="F78" s="149" t="s">
        <v>12051</v>
      </c>
      <c r="G78" s="149" t="s">
        <v>12</v>
      </c>
      <c r="H78" s="206">
        <v>0</v>
      </c>
      <c r="I78" s="207" t="s">
        <v>12053</v>
      </c>
      <c r="J78" s="207" t="s">
        <v>106</v>
      </c>
      <c r="K78" s="150"/>
      <c r="L78" s="150"/>
      <c r="M78" s="150"/>
      <c r="N78" s="150"/>
      <c r="O78" s="150"/>
      <c r="P78" s="209"/>
      <c r="Q78" s="151" t="s">
        <v>20065</v>
      </c>
      <c r="R78" s="149" t="str">
        <f ca="1">IF(ISERROR($V78),"",OFFSET('Smelter Look-up'!$C$4,$V78-4,0)&amp;"")</f>
        <v>Jiangxi Miracle Golden Tiger Cobalt Co. Ltd.</v>
      </c>
      <c r="S78" s="155" t="str">
        <f t="shared" ca="1" si="7"/>
        <v>CN</v>
      </c>
      <c r="T78" s="155" t="str">
        <f ca="1">IF(B78="","",IF(ISERROR(MATCH($J78,SorP!$B$1:$B$6226,0)),"",INDIRECT("'SorP'!$A$"&amp;MATCH($S78&amp;$J78,SorP!C:C,0))))</f>
        <v>CN-JX</v>
      </c>
      <c r="U78" s="168"/>
      <c r="V78" s="169">
        <f>IF(C78="",NA(),MATCH($B78&amp;$C78,'Smelter Look-up'!$J:$J,0))</f>
        <v>70</v>
      </c>
      <c r="X78" s="170">
        <f t="shared" si="6"/>
        <v>0</v>
      </c>
      <c r="AB78" s="314" t="str">
        <f t="shared" si="8"/>
        <v>Cobalt</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Inventronics GmbH and Affiliates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Angela Garzieri</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a.garzieri@inventronicsglobal.com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+39 0422 290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Luca Bordin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l.birdin@inventronicsglobal.com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45916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Yes</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Mica(*)</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Mica(*)</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https://www.inventronics-light.com/sustainability#product_stewardship</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Mica</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0" t="str">
        <f ca="1">OFFSET(L!$C$1,MATCH("Mine List"&amp;ADDRESS(ROW(),COLUMN(),4),L!$A:$A,0)-1,SL,,)</f>
        <v>TO BEGIN:</v>
      </c>
      <c r="C2" s="470" t="s">
        <v>19144</v>
      </c>
      <c r="D2" s="470" t="s">
        <v>19144</v>
      </c>
      <c r="E2" s="326"/>
      <c r="F2" s="326"/>
      <c r="G2" s="327"/>
      <c r="H2" s="471"/>
      <c r="I2" s="472"/>
      <c r="J2" s="472"/>
      <c r="K2" s="472"/>
      <c r="L2" s="472"/>
      <c r="M2" s="472"/>
      <c r="N2" s="328"/>
      <c r="O2" s="328"/>
    </row>
    <row r="3" spans="1:19" s="324" customFormat="1" ht="94.05" customHeight="1" thickBot="1">
      <c r="A3" s="360"/>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ht="13.2">
      <c r="A2" s="19"/>
      <c r="B2" s="109"/>
      <c r="C2" s="109"/>
      <c r="D2"/>
      <c r="E2" s="20"/>
    </row>
    <row r="3" spans="1:35" ht="13.2">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9" t="str">
        <f ca="1">OFFSET(L!$C$1,MATCH("General"&amp;"Cpy",L!$A:$A,0)-1,SL,,)</f>
        <v>© 2025 Responsible Minerals Initiative. All rights reserved.</v>
      </c>
      <c r="C1001" s="479"/>
      <c r="D1001" s="47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Angela Garzieri</cp:lastModifiedBy>
  <cp:revision/>
  <dcterms:created xsi:type="dcterms:W3CDTF">2010-06-21T21:00:23Z</dcterms:created>
  <dcterms:modified xsi:type="dcterms:W3CDTF">2025-09-16T13:26:58Z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